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  <sheet name="INGREDIENTI" sheetId="2" r:id="rId2"/>
  </sheets>
  <definedNames>
    <definedName name="_xlnm.Print_Area" localSheetId="0">'BILANCIATURA'!$A$1:$L$7</definedName>
  </definedNames>
  <calcPr fullCalcOnLoad="1"/>
</workbook>
</file>

<file path=xl/sharedStrings.xml><?xml version="1.0" encoding="utf-8"?>
<sst xmlns="http://schemas.openxmlformats.org/spreadsheetml/2006/main" count="303" uniqueCount="294">
  <si>
    <t>TABELLA MERCEOLOGICA PRODOTTI</t>
  </si>
  <si>
    <t>Ingredienti</t>
  </si>
  <si>
    <t>Grammi</t>
  </si>
  <si>
    <t>Grassi</t>
  </si>
  <si>
    <t>Prot.</t>
  </si>
  <si>
    <t>Lattosio</t>
  </si>
  <si>
    <t>S.M.</t>
  </si>
  <si>
    <t>M.d.L.</t>
  </si>
  <si>
    <t>Zucch.</t>
  </si>
  <si>
    <t>A.S.</t>
  </si>
  <si>
    <t>S.T.</t>
  </si>
  <si>
    <t>Acqua</t>
  </si>
  <si>
    <t>P.A.C.</t>
  </si>
  <si>
    <t>POD</t>
  </si>
  <si>
    <t>Alcool</t>
  </si>
  <si>
    <t>Kcal</t>
  </si>
  <si>
    <t>Albicocca</t>
  </si>
  <si>
    <t>Albume fresco</t>
  </si>
  <si>
    <t>Amarena</t>
  </si>
  <si>
    <t>Amaretti Vicenzi</t>
  </si>
  <si>
    <t>Amido di mais</t>
  </si>
  <si>
    <t>Ananas</t>
  </si>
  <si>
    <t>Arancia succo</t>
  </si>
  <si>
    <t>Aromi</t>
  </si>
  <si>
    <t>Avocado</t>
  </si>
  <si>
    <t>Banana</t>
  </si>
  <si>
    <t>Base Frutta 1,5% Sel. S.</t>
  </si>
  <si>
    <t>Base Frutta 3,5% Sel. S.</t>
  </si>
  <si>
    <t>Base Frutta 50 Mec3</t>
  </si>
  <si>
    <t>Base Frutta DBF 803 G.E.I.</t>
  </si>
  <si>
    <t>Base Latte 1,5% Sel. S.</t>
  </si>
  <si>
    <t>Base Latte 100 Caffarel</t>
  </si>
  <si>
    <t>Base Latte 3,5% Sel. S.</t>
  </si>
  <si>
    <t>Base Latte C 60 Mec3</t>
  </si>
  <si>
    <t>Base Latte CP 40 Mec3</t>
  </si>
  <si>
    <t>Base Latte DPO 50 C gold G.E.I.</t>
  </si>
  <si>
    <t>Base Latte DPO 50 C silver G.E.I.</t>
  </si>
  <si>
    <t>Base Latte DPO super C G.E.I.</t>
  </si>
  <si>
    <t>Base Panna 1,5% Sel S.</t>
  </si>
  <si>
    <t>Base Panna 3,5% Sel. S.</t>
  </si>
  <si>
    <t>Base Uovo 1,5% Sel. S.</t>
  </si>
  <si>
    <t>Base Uovo 3,5% Sel. S.</t>
  </si>
  <si>
    <t>Birra</t>
  </si>
  <si>
    <t>Brandy</t>
  </si>
  <si>
    <t>Burro</t>
  </si>
  <si>
    <t>Burro anidro</t>
  </si>
  <si>
    <t>Cacao 22-24% m.g.</t>
  </si>
  <si>
    <t>Cacao del gelatiere G.E.I. 4001</t>
  </si>
  <si>
    <t xml:space="preserve">Cacao magro 12% m.g. </t>
  </si>
  <si>
    <t>Cachi</t>
  </si>
  <si>
    <t>Caffè espresso</t>
  </si>
  <si>
    <t>Caffè liofilizzato Rancho Nestlè</t>
  </si>
  <si>
    <t>Carota</t>
  </si>
  <si>
    <t>Champagne</t>
  </si>
  <si>
    <t>Ciliegia</t>
  </si>
  <si>
    <t>Cioccolato al Latte</t>
  </si>
  <si>
    <t>Cioccolato Bianco</t>
  </si>
  <si>
    <t>Cioccolato Callebaut 805</t>
  </si>
  <si>
    <t>Cioccolato fondente</t>
  </si>
  <si>
    <t>Cioccolato gianduja</t>
  </si>
  <si>
    <t>Cioccolato in gocce 601 Sel.S.</t>
  </si>
  <si>
    <t>Coca cola</t>
  </si>
  <si>
    <t>Cocomero</t>
  </si>
  <si>
    <t>Cognac</t>
  </si>
  <si>
    <t>Destrosio</t>
  </si>
  <si>
    <t>Dulce de leche</t>
  </si>
  <si>
    <t>Emulcrema 0,5% G.E.I.101</t>
  </si>
  <si>
    <t>Emulsiofrutta 0,8% G.E.I.1830</t>
  </si>
  <si>
    <t>Fico</t>
  </si>
  <si>
    <t>Fico d'India</t>
  </si>
  <si>
    <t>Fragola</t>
  </si>
  <si>
    <t>Fruttosio</t>
  </si>
  <si>
    <t>Gin</t>
  </si>
  <si>
    <t>Grappa</t>
  </si>
  <si>
    <t>Grasso vegetale idrog.</t>
  </si>
  <si>
    <t>Integratore Fabbri</t>
  </si>
  <si>
    <t>Inulina (se ne può mettere fino al 12%)</t>
  </si>
  <si>
    <t>Kiwi</t>
  </si>
  <si>
    <t>Lampone</t>
  </si>
  <si>
    <t>Latte concentrato zuccherato</t>
  </si>
  <si>
    <t>Latte di bufala</t>
  </si>
  <si>
    <t>Latte di cocco disidratato</t>
  </si>
  <si>
    <t>Latte di mandorla</t>
  </si>
  <si>
    <t>Latte evaporato</t>
  </si>
  <si>
    <t>Latte fresco Intero</t>
  </si>
  <si>
    <t>Latte fresco Parzialmente Scremato</t>
  </si>
  <si>
    <t>Latte fresco Scremato</t>
  </si>
  <si>
    <t>Latte in Polvere Intero</t>
  </si>
  <si>
    <t>Latte in Polvere Magro</t>
  </si>
  <si>
    <t>Latte parzalmente scremato disidratato</t>
  </si>
  <si>
    <t>Lime</t>
  </si>
  <si>
    <t>Limone</t>
  </si>
  <si>
    <t>Liquirizia liofilizzata Mec 3</t>
  </si>
  <si>
    <t>Liquori dolci</t>
  </si>
  <si>
    <t>Maltodestrine 18 DE</t>
  </si>
  <si>
    <t>Mandarino</t>
  </si>
  <si>
    <t>Mango</t>
  </si>
  <si>
    <t>Maracuja</t>
  </si>
  <si>
    <t>Margarina vegetale</t>
  </si>
  <si>
    <t>Marsala secco</t>
  </si>
  <si>
    <t>Marzapane</t>
  </si>
  <si>
    <t>Mascarpone</t>
  </si>
  <si>
    <t>Massa di cacao</t>
  </si>
  <si>
    <t>Mela</t>
  </si>
  <si>
    <t>Melagrana</t>
  </si>
  <si>
    <t>Melone</t>
  </si>
  <si>
    <t xml:space="preserve">Miele </t>
  </si>
  <si>
    <t xml:space="preserve">Milk Exten uso come il L.P.M. G.E.I. </t>
  </si>
  <si>
    <t>Mirtillo</t>
  </si>
  <si>
    <t>Mora</t>
  </si>
  <si>
    <t xml:space="preserve">Neutro 5  SAVICREM </t>
  </si>
  <si>
    <t>Olio di Oliva</t>
  </si>
  <si>
    <t>Ovoneve Maja</t>
  </si>
  <si>
    <t>Panna 35% m.g.</t>
  </si>
  <si>
    <t>Papaya</t>
  </si>
  <si>
    <t>Parmigiano</t>
  </si>
  <si>
    <t>Pasta Albicocca G.E.I. 918</t>
  </si>
  <si>
    <t>Pasta Amaretto G.E.I. (907)</t>
  </si>
  <si>
    <t>Pasta Amaretto Mec3</t>
  </si>
  <si>
    <t>Pasta Ananas G.E.I. 920</t>
  </si>
  <si>
    <t>Pasta Biscottino</t>
  </si>
  <si>
    <t>Pasta Biscuit G.E.I. 1891</t>
  </si>
  <si>
    <t>Pasta Bon bon G.E.I.1449</t>
  </si>
  <si>
    <t>Pasta Bounty G.E.I. 1643</t>
  </si>
  <si>
    <t>Pasta Caffè c.n. G.E.I. 1019</t>
  </si>
  <si>
    <t>Pasta Caffè Expr. G.E.I. 1748</t>
  </si>
  <si>
    <t>Pasta Caramel G.E.I. 300</t>
  </si>
  <si>
    <t>Pasta Cassata G.E.I. 388</t>
  </si>
  <si>
    <t>Pasta Cioccolato Bianco G.E.I. 1145</t>
  </si>
  <si>
    <t>Pasta Cocco Malesia G.E.I. 327</t>
  </si>
  <si>
    <t>Pasta Cocco Mec 3</t>
  </si>
  <si>
    <t>Pasta Coffee break G.E.I. 1882</t>
  </si>
  <si>
    <t>Pasta Crema Catalana G.E.I. 1631</t>
  </si>
  <si>
    <t>Pasta Cremino Caffarel</t>
  </si>
  <si>
    <t>Pasta Croccantino G.E.I. 1020</t>
  </si>
  <si>
    <t>Pasta Croccantino Rhum Mec3</t>
  </si>
  <si>
    <t>Pasta di Malaga S.Spec.</t>
  </si>
  <si>
    <t>Pasta di Mela Mec3</t>
  </si>
  <si>
    <t>Pasta Dulce de leche Mec3</t>
  </si>
  <si>
    <t>Pasta Fiordipanna G.E.I. 1079</t>
  </si>
  <si>
    <t>Pasta Fragola G.E.I.1888</t>
  </si>
  <si>
    <t>Pasta Fragola Mec3</t>
  </si>
  <si>
    <t>Pasta Gianduja G.E.I. 906</t>
  </si>
  <si>
    <t>Pasta Gianduja G.E.I. 908</t>
  </si>
  <si>
    <t>Pasta Giandujotto Caffarel</t>
  </si>
  <si>
    <t>Pasta Giotto G.E.I. 1654</t>
  </si>
  <si>
    <t>Pasta Kiwi Mec3</t>
  </si>
  <si>
    <t>Pasta Lampone G.E.I. 1674</t>
  </si>
  <si>
    <t>Pasta Limetta</t>
  </si>
  <si>
    <t>Pasta Malaga G.E.I. 1024</t>
  </si>
  <si>
    <t>Pasta Malaga Mec3</t>
  </si>
  <si>
    <t>Pasta Mandorla G.E.I. 909</t>
  </si>
  <si>
    <t>Pasta Mandorli G.E.I. 1652</t>
  </si>
  <si>
    <t>Pasta Mandorlone G.E.I 1780</t>
  </si>
  <si>
    <t>Pasta Marron Glaces G.E.I. 1025</t>
  </si>
  <si>
    <t>Pasta Mela verde G.E.I. 830</t>
  </si>
  <si>
    <t>Pasta Menta Mec3</t>
  </si>
  <si>
    <t>Pasta Meringa G.E.I. 1827</t>
  </si>
  <si>
    <t>Pasta Meringa Mec 3</t>
  </si>
  <si>
    <t>Pasta Mora G.E.I. 926</t>
  </si>
  <si>
    <t>Pasta Nocciola 100%</t>
  </si>
  <si>
    <t>Pasta Nocciola G.E.I. 1965</t>
  </si>
  <si>
    <t>Pasta Nocciola G.E.I. 5064</t>
  </si>
  <si>
    <t>Pasta Nocciola Mec3</t>
  </si>
  <si>
    <t>Pasta Nocciola Piemonte G.E.I. 5061</t>
  </si>
  <si>
    <t>Pasta Noce Mec3</t>
  </si>
  <si>
    <t>Pasta Noce Sel.S.</t>
  </si>
  <si>
    <t>Pasta Pera Mec3</t>
  </si>
  <si>
    <t>Pasta Pesca G.E.I. 928</t>
  </si>
  <si>
    <t>Pasta Pistacchio 100%</t>
  </si>
  <si>
    <t>Pasta Pistacchio G.E.I. 1197</t>
  </si>
  <si>
    <t>Pasta Pistacchio G.E.I. 929</t>
  </si>
  <si>
    <t>Pasta Pistacchio Mec3</t>
  </si>
  <si>
    <t>Pasta Pistacchio Sicilia G.E.I. 720</t>
  </si>
  <si>
    <t>Pasta Rinforzo Stracc. G.E.I. 1233</t>
  </si>
  <si>
    <t>Pasta Sorriso Bianco G.E.I. 1077</t>
  </si>
  <si>
    <t>Pasta Tartufo G.E.I. 220</t>
  </si>
  <si>
    <t>Pasta Tiramisù G.E.I. 238</t>
  </si>
  <si>
    <t>Pasta Tiramisù Mec3</t>
  </si>
  <si>
    <t>Pasta Tiramisù NE IT G.E.I. poco alcool</t>
  </si>
  <si>
    <t>Pasta Torroncino G.E.I. 5913</t>
  </si>
  <si>
    <t xml:space="preserve">Pasta Torrone G.G. G.E.I. </t>
  </si>
  <si>
    <t>Pasta Torrone limoncello G.E.I. 2103</t>
  </si>
  <si>
    <t>Pasta Torrone Mec 3</t>
  </si>
  <si>
    <t>Pasta Vaniglia Mec3</t>
  </si>
  <si>
    <t>Pasta Whisky cream</t>
  </si>
  <si>
    <t>Pasta Zuppa I.Elenka</t>
  </si>
  <si>
    <t>Pasta Zuppa Inglese G.E.I. 1010</t>
  </si>
  <si>
    <t>Paste di Frutta</t>
  </si>
  <si>
    <t>Paste medie</t>
  </si>
  <si>
    <t>Paste molto dolci</t>
  </si>
  <si>
    <t>Pera</t>
  </si>
  <si>
    <t>Pesca</t>
  </si>
  <si>
    <t>Philadelphia</t>
  </si>
  <si>
    <t>Pomodoro</t>
  </si>
  <si>
    <t>Pompelmo</t>
  </si>
  <si>
    <t>Porto</t>
  </si>
  <si>
    <t>Pronto meringa G.E.I.</t>
  </si>
  <si>
    <t>Prot. di soja uso 3 gr./kg. Sel. S.</t>
  </si>
  <si>
    <t>Protoplus Sel. S.</t>
  </si>
  <si>
    <t>Prugna</t>
  </si>
  <si>
    <t>Ricotta di pecora</t>
  </si>
  <si>
    <t>Ricotta dolce surgelata</t>
  </si>
  <si>
    <t>Ricotta vaccina</t>
  </si>
  <si>
    <t>Saccarosio</t>
  </si>
  <si>
    <t>Sciroppo di glucosio 42DE</t>
  </si>
  <si>
    <t>Sciroppo di glucosio 62DE</t>
  </si>
  <si>
    <t>Sciroppo di glucosio 74DE</t>
  </si>
  <si>
    <t>Sciroppo di glucosio disidratato 30 DE</t>
  </si>
  <si>
    <t>Sciroppo di glucosio disidratato 38 DE</t>
  </si>
  <si>
    <t>Sedano</t>
  </si>
  <si>
    <t>Susina</t>
  </si>
  <si>
    <t>Torrone</t>
  </si>
  <si>
    <t>Tuorlo d' uovo</t>
  </si>
  <si>
    <t xml:space="preserve">Tuorlo d' uovo in polvere </t>
  </si>
  <si>
    <t>Tuorlo d'uovo zuccherato</t>
  </si>
  <si>
    <t>Uva</t>
  </si>
  <si>
    <t>Vanicrem G.E.I. 440</t>
  </si>
  <si>
    <t>Vaniglia + semi Sel.Spec. 305</t>
  </si>
  <si>
    <t>Vaniglia Bourbon G.E.I. 401</t>
  </si>
  <si>
    <t>Vaniglia G.E.I. 1085</t>
  </si>
  <si>
    <t>Whisky</t>
  </si>
  <si>
    <t>Yogumix 40 G.E.I.</t>
  </si>
  <si>
    <t>Yogurt G.E.I. S.Speciale</t>
  </si>
  <si>
    <t>Yogurt intero</t>
  </si>
  <si>
    <t>Yogurt liofilizzato</t>
  </si>
  <si>
    <t>Yogurt liofilizzato Mec3</t>
  </si>
  <si>
    <t>Yogurt magro</t>
  </si>
  <si>
    <t>Yogurt magro frutta</t>
  </si>
  <si>
    <t>Zabajone G.E.I. 1447</t>
  </si>
  <si>
    <t>Zabajone G.E.I. 930</t>
  </si>
  <si>
    <t>Zucchero invertito</t>
  </si>
  <si>
    <t>Pasta Dulce de leche Mec3 crema</t>
  </si>
  <si>
    <t>Pasta liquirizia Nuova Tradizione</t>
  </si>
  <si>
    <t>Pasta Menta verde Nuova Tradizione</t>
  </si>
  <si>
    <t>Pasta Pistacchio sicilia 100%</t>
  </si>
  <si>
    <t>Pasta Miele Nuova Tradizione</t>
  </si>
  <si>
    <t>Pasta Noce Nuova Tradizione</t>
  </si>
  <si>
    <t>Base 50 Golosia N. T. senza grassi</t>
  </si>
  <si>
    <t>Pasta Strudel Nuova Tradizione</t>
  </si>
  <si>
    <t>Pasta Cannella Nuova Tradizione</t>
  </si>
  <si>
    <t>Pasta Dulce de leche Nuova Tradizione</t>
  </si>
  <si>
    <t>Pasta Diablo (ciocc.peperoncino) N.T.</t>
  </si>
  <si>
    <t>Pasta Pistacchio semilavorato N.T.</t>
  </si>
  <si>
    <t>Pasta Torroncino Nuova Tradizione</t>
  </si>
  <si>
    <t>Pasta Vaniglia Gialla Nuova Tradizione</t>
  </si>
  <si>
    <t>Pasta Marron Glaces Nuova Tradizione</t>
  </si>
  <si>
    <t>Variegato Nutcrem Nuova Tradizione</t>
  </si>
  <si>
    <t>Pasta Crema Catalana Nuova Tradizione</t>
  </si>
  <si>
    <t>Pasta Cassata Nuova Tradizione</t>
  </si>
  <si>
    <t>Pasta Crema all'uovo Nuova Tradizione</t>
  </si>
  <si>
    <t>Pasta Pinolata Nuova Tradizione</t>
  </si>
  <si>
    <t>Pasta Crem caramel Nuova Tradizione</t>
  </si>
  <si>
    <t>Pasta Pannacotta Nuova Tradizione</t>
  </si>
  <si>
    <t>Pasta Zuppa Inglese Nuova Tradizione</t>
  </si>
  <si>
    <t>Pasta Nocciola extra Nuova Tradizione</t>
  </si>
  <si>
    <t>Variegato amarena Nuova Tradizione</t>
  </si>
  <si>
    <t>Pasta meringa Nuova Tradizione</t>
  </si>
  <si>
    <t>Pasta Smack Nuova Tradizione</t>
  </si>
  <si>
    <t>Pasta gianduja classica Nuova Tradizione</t>
  </si>
  <si>
    <t>Base 5 armonia frutta Nuova Tradizione</t>
  </si>
  <si>
    <t>Pasta Cocco Nuova Tradizione</t>
  </si>
  <si>
    <t>Pasta Malaga Nuova Tradizione</t>
  </si>
  <si>
    <t>Pasta Tiramisu`Nuova Tradizione</t>
  </si>
  <si>
    <t>Variegato Stracciatella Nuova Tradizione</t>
  </si>
  <si>
    <t>Yogurt in Polvere Nuova Tradizione</t>
  </si>
  <si>
    <t>Base 50 golosia N.T. Grassi Vegetali</t>
  </si>
  <si>
    <t>Pasta Caffe' Nuova Tradizione</t>
  </si>
  <si>
    <t>Pasta Amaretto Nuova Tradizione</t>
  </si>
  <si>
    <t>Pasta Croccantino al rhum Nuova Tradizione</t>
  </si>
  <si>
    <t>Pasta Mandorla Nuova Tradizione</t>
  </si>
  <si>
    <t>Proteine del siero</t>
  </si>
  <si>
    <t>*</t>
  </si>
  <si>
    <t>% grassi del latte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</si>
  <si>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</si>
  <si>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</si>
  <si>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</si>
  <si>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</si>
  <si>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</si>
  <si>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</si>
  <si>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Costruzione della ricetta</t>
  </si>
  <si>
    <t>Q.tà</t>
  </si>
  <si>
    <t>sciroppo</t>
  </si>
  <si>
    <t>zucchero</t>
  </si>
  <si>
    <t>% grassi del burro</t>
  </si>
  <si>
    <t>C.D.</t>
  </si>
  <si>
    <t>Zuccheri</t>
  </si>
  <si>
    <t>Altri solidi</t>
  </si>
  <si>
    <t>Solidi Totali</t>
  </si>
  <si>
    <t>PAC</t>
  </si>
  <si>
    <t>Sciroppo di zuccheri</t>
  </si>
  <si>
    <t>Inulina</t>
  </si>
  <si>
    <t>Zucca Ingredienti</t>
  </si>
  <si>
    <t>Polpa di zucca gialla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</si>
</sst>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9" fontId="2" fillId="0" borderId="6" xfId="19" applyFont="1" applyFill="1" applyBorder="1" applyAlignment="1">
      <alignment/>
    </xf>
    <xf numFmtId="0" fontId="2" fillId="0" borderId="8" xfId="0" applyFont="1" applyFill="1" applyBorder="1" applyAlignment="1">
      <alignment/>
    </xf>
    <xf numFmtId="9" fontId="2" fillId="0" borderId="13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9" fontId="2" fillId="0" borderId="21" xfId="19" applyFont="1" applyFill="1" applyBorder="1" applyAlignment="1">
      <alignment/>
    </xf>
    <xf numFmtId="9" fontId="2" fillId="0" borderId="8" xfId="19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9" fontId="6" fillId="0" borderId="13" xfId="19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 locked="0"/>
    </xf>
    <xf numFmtId="2" fontId="6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239</xdr:row>
      <xdr:rowOff>0</xdr:rowOff>
    </xdr:from>
    <xdr:to>
      <xdr:col>0</xdr:col>
      <xdr:colOff>657225</xdr:colOff>
      <xdr:row>243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5.57421875" style="0" bestFit="1" customWidth="1"/>
    <col min="2" max="3" width="12.57421875" style="0" customWidth="1"/>
    <col min="4" max="4" width="13.00390625" style="0" bestFit="1" customWidth="1"/>
    <col min="5" max="5" width="15.57421875" style="0" bestFit="1" customWidth="1"/>
    <col min="6" max="9" width="12.57421875" style="0" customWidth="1"/>
    <col min="10" max="12" width="13.7109375" style="0" customWidth="1"/>
    <col min="13" max="13" width="10.8515625" style="0" bestFit="1" customWidth="1"/>
  </cols>
  <sheetData>
    <row r="1" spans="1:13" ht="30.75" customHeight="1" thickBot="1">
      <c r="A1" s="89" t="s">
        <v>280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7" t="s">
        <v>281</v>
      </c>
    </row>
    <row r="2" spans="1:8" ht="21" thickBot="1">
      <c r="A2" s="68" t="s">
        <v>292</v>
      </c>
      <c r="B2" s="69" t="s">
        <v>2</v>
      </c>
      <c r="C2" s="69" t="s">
        <v>286</v>
      </c>
      <c r="D2" s="69" t="s">
        <v>287</v>
      </c>
      <c r="E2" s="69" t="s">
        <v>288</v>
      </c>
      <c r="F2" s="69" t="s">
        <v>285</v>
      </c>
      <c r="G2" s="69" t="s">
        <v>289</v>
      </c>
      <c r="H2" s="70">
        <v>3.8</v>
      </c>
    </row>
    <row r="3" spans="1:8" ht="18">
      <c r="A3" s="71" t="s">
        <v>293</v>
      </c>
      <c r="B3" s="72">
        <v>300</v>
      </c>
      <c r="C3" s="73">
        <f>3%*B3</f>
        <v>9</v>
      </c>
      <c r="D3" s="73">
        <f>2%*B3</f>
        <v>6</v>
      </c>
      <c r="E3" s="73">
        <f>C3+D3</f>
        <v>15</v>
      </c>
      <c r="F3" s="73">
        <f>110%*C3</f>
        <v>9.9</v>
      </c>
      <c r="G3" s="73">
        <f>140%*C3</f>
        <v>12.6</v>
      </c>
      <c r="H3" s="87">
        <f>B3*$H$2</f>
        <v>1140</v>
      </c>
    </row>
    <row r="4" spans="1:8" ht="18">
      <c r="A4" s="74" t="s">
        <v>11</v>
      </c>
      <c r="B4" s="75">
        <v>88.7</v>
      </c>
      <c r="C4" s="75">
        <v>0</v>
      </c>
      <c r="D4" s="75"/>
      <c r="E4" s="75">
        <v>0</v>
      </c>
      <c r="F4" s="75">
        <v>0</v>
      </c>
      <c r="G4" s="76">
        <v>0</v>
      </c>
      <c r="H4" s="88">
        <f>B4*$H$2</f>
        <v>337.06</v>
      </c>
    </row>
    <row r="5" spans="1:8" ht="18">
      <c r="A5" s="74" t="s">
        <v>290</v>
      </c>
      <c r="B5" s="75">
        <v>599.8</v>
      </c>
      <c r="C5" s="75">
        <f>50%*B5</f>
        <v>299.9</v>
      </c>
      <c r="D5" s="75">
        <f>0.6%*B5</f>
        <v>3.5987999999999998</v>
      </c>
      <c r="E5" s="75">
        <f>50.6%*B5</f>
        <v>303.49879999999996</v>
      </c>
      <c r="F5" s="75">
        <f>38.188%*B5</f>
        <v>229.05162399999998</v>
      </c>
      <c r="G5" s="76">
        <f>C5</f>
        <v>299.9</v>
      </c>
      <c r="H5" s="88">
        <f>B5*$H$2</f>
        <v>2279.24</v>
      </c>
    </row>
    <row r="6" spans="1:8" ht="18">
      <c r="A6" s="74" t="s">
        <v>291</v>
      </c>
      <c r="B6" s="75">
        <v>11.5</v>
      </c>
      <c r="C6" s="75">
        <v>0</v>
      </c>
      <c r="D6" s="75">
        <f>B6</f>
        <v>11.5</v>
      </c>
      <c r="E6" s="75">
        <f>B6</f>
        <v>11.5</v>
      </c>
      <c r="F6" s="75">
        <v>0</v>
      </c>
      <c r="G6" s="76">
        <v>0</v>
      </c>
      <c r="H6" s="88">
        <f>B6*$H$2</f>
        <v>43.699999999999996</v>
      </c>
    </row>
    <row r="7" spans="1:8" ht="18">
      <c r="A7" s="77" t="s">
        <v>279</v>
      </c>
      <c r="B7" s="72">
        <f aca="true" t="shared" si="0" ref="B7:G7">SUM(B3:B6)</f>
        <v>1000</v>
      </c>
      <c r="C7" s="73">
        <f t="shared" si="0"/>
        <v>308.9</v>
      </c>
      <c r="D7" s="73">
        <f t="shared" si="0"/>
        <v>21.0988</v>
      </c>
      <c r="E7" s="73">
        <f t="shared" si="0"/>
        <v>329.99879999999996</v>
      </c>
      <c r="F7" s="73">
        <f t="shared" si="0"/>
        <v>238.95162399999998</v>
      </c>
      <c r="G7" s="73">
        <f t="shared" si="0"/>
        <v>312.5</v>
      </c>
      <c r="H7" s="88">
        <f>B7*$H$2</f>
        <v>3800</v>
      </c>
    </row>
    <row r="8" spans="1:9" ht="18">
      <c r="A8" s="62"/>
      <c r="B8" s="62"/>
      <c r="C8" s="86"/>
      <c r="D8" s="62"/>
      <c r="E8" s="86"/>
      <c r="F8" s="62"/>
      <c r="G8" s="62"/>
      <c r="H8" s="62"/>
      <c r="I8" s="62"/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9" ht="16.5">
      <c r="A10" s="78"/>
      <c r="B10" s="79"/>
      <c r="C10" s="78"/>
      <c r="D10" s="78"/>
      <c r="E10" s="78"/>
      <c r="F10" s="78"/>
      <c r="G10" s="78"/>
      <c r="H10" s="78"/>
      <c r="I10" s="80"/>
    </row>
    <row r="11" spans="1:9" ht="17.25" thickBot="1">
      <c r="A11" s="78" t="s">
        <v>274</v>
      </c>
      <c r="B11" s="79"/>
      <c r="C11" s="78"/>
      <c r="D11" s="78"/>
      <c r="E11" s="81">
        <f>B12</f>
        <v>3.5</v>
      </c>
      <c r="F11" s="81">
        <f>B13</f>
        <v>35</v>
      </c>
      <c r="G11" s="81">
        <f>+B14*100</f>
        <v>7500</v>
      </c>
      <c r="H11" s="78"/>
      <c r="I11" s="80"/>
    </row>
    <row r="12" spans="1:9" ht="17.25" thickBot="1">
      <c r="A12" s="82" t="s">
        <v>273</v>
      </c>
      <c r="B12" s="83">
        <v>3.5</v>
      </c>
      <c r="C12" s="78" t="s">
        <v>272</v>
      </c>
      <c r="D12" s="78"/>
      <c r="E12" s="84">
        <v>1</v>
      </c>
      <c r="F12" s="84">
        <v>1</v>
      </c>
      <c r="G12" s="81">
        <f>B15</f>
        <v>733.7</v>
      </c>
      <c r="H12" s="78"/>
      <c r="I12" s="80"/>
    </row>
    <row r="13" spans="1:9" ht="17.25" thickBot="1">
      <c r="A13" s="82" t="s">
        <v>284</v>
      </c>
      <c r="B13" s="83">
        <v>35</v>
      </c>
      <c r="C13" s="78"/>
      <c r="D13" s="78"/>
      <c r="E13" s="78"/>
      <c r="F13" s="78"/>
      <c r="G13" s="78"/>
      <c r="H13" s="78"/>
      <c r="I13" s="80"/>
    </row>
    <row r="14" spans="1:9" ht="17.25" thickBot="1">
      <c r="A14" s="82" t="s">
        <v>277</v>
      </c>
      <c r="B14" s="83">
        <v>75</v>
      </c>
      <c r="C14" s="78" t="s">
        <v>272</v>
      </c>
      <c r="D14" s="78"/>
      <c r="E14" s="78"/>
      <c r="F14" s="78"/>
      <c r="G14" s="78"/>
      <c r="H14" s="78"/>
      <c r="I14" s="80"/>
    </row>
    <row r="15" spans="1:13" ht="17.25" thickBot="1">
      <c r="A15" s="82" t="s">
        <v>278</v>
      </c>
      <c r="B15" s="83">
        <v>733.7</v>
      </c>
      <c r="C15" s="78" t="s">
        <v>272</v>
      </c>
      <c r="D15" s="78"/>
      <c r="E15" s="78"/>
      <c r="F15" s="78"/>
      <c r="G15" s="78"/>
      <c r="H15" s="78"/>
      <c r="I15" s="80"/>
      <c r="J15" s="80"/>
      <c r="K15" s="80"/>
      <c r="L15" s="80"/>
      <c r="M15" s="80"/>
    </row>
    <row r="16" spans="1:13" ht="16.5">
      <c r="A16" s="78"/>
      <c r="B16" s="79"/>
      <c r="C16" s="78"/>
      <c r="D16" s="78"/>
      <c r="E16" s="78"/>
      <c r="F16" s="78"/>
      <c r="G16" s="78"/>
      <c r="H16" s="78"/>
      <c r="I16" s="80"/>
      <c r="J16" s="80"/>
      <c r="K16" s="80"/>
      <c r="L16" s="80"/>
      <c r="M16" s="80"/>
    </row>
    <row r="17" spans="1:13" ht="16.5">
      <c r="A17" s="78"/>
      <c r="B17" s="79"/>
      <c r="C17" s="78"/>
      <c r="D17" s="78"/>
      <c r="E17" s="78"/>
      <c r="F17" s="78"/>
      <c r="G17" s="85">
        <f>MDETERM(E11:F12)</f>
        <v>-31.5</v>
      </c>
      <c r="H17" s="78"/>
      <c r="I17" s="80"/>
      <c r="J17" s="80"/>
      <c r="K17" s="80"/>
      <c r="L17" s="80"/>
      <c r="M17" s="80"/>
    </row>
    <row r="18" spans="1:13" ht="16.5">
      <c r="A18" s="78"/>
      <c r="B18" s="79"/>
      <c r="C18" s="78"/>
      <c r="D18" s="78"/>
      <c r="E18" s="78"/>
      <c r="F18" s="78"/>
      <c r="G18" s="78"/>
      <c r="H18" s="78"/>
      <c r="I18" s="80"/>
      <c r="J18" s="80"/>
      <c r="K18" s="80"/>
      <c r="L18" s="80"/>
      <c r="M18" s="80"/>
    </row>
    <row r="19" spans="1:13" ht="16.5">
      <c r="A19" s="78"/>
      <c r="B19" s="79"/>
      <c r="C19" s="78"/>
      <c r="D19" s="78"/>
      <c r="E19" s="78"/>
      <c r="F19" s="78"/>
      <c r="G19" s="78"/>
      <c r="H19" s="78"/>
      <c r="I19" s="80"/>
      <c r="J19" s="80"/>
      <c r="K19" s="80"/>
      <c r="L19" s="80"/>
      <c r="M19" s="80"/>
    </row>
    <row r="20" spans="1:13" ht="17.25" thickBot="1">
      <c r="A20" s="78"/>
      <c r="B20" s="79"/>
      <c r="C20" s="78"/>
      <c r="D20" s="78"/>
      <c r="E20" s="78"/>
      <c r="F20" s="78"/>
      <c r="G20" s="85">
        <f>MDETERM(F11:G12)</f>
        <v>18179.500000000004</v>
      </c>
      <c r="H20" s="78"/>
      <c r="I20" s="80"/>
      <c r="J20" s="80"/>
      <c r="K20" s="80"/>
      <c r="L20" s="80"/>
      <c r="M20" s="80"/>
    </row>
    <row r="21" spans="1:13" ht="17.25" thickBot="1">
      <c r="A21" s="82" t="s">
        <v>275</v>
      </c>
      <c r="B21" s="83">
        <f>-G20/G17</f>
        <v>577.1269841269842</v>
      </c>
      <c r="C21" s="78"/>
      <c r="D21" s="78"/>
      <c r="E21" s="78"/>
      <c r="F21" s="78"/>
      <c r="G21" s="78"/>
      <c r="H21" s="78"/>
      <c r="I21" s="80"/>
      <c r="J21" s="80"/>
      <c r="K21" s="80"/>
      <c r="L21" s="80"/>
      <c r="M21" s="80"/>
    </row>
    <row r="22" spans="1:13" ht="17.25" thickBot="1">
      <c r="A22" s="82" t="s">
        <v>276</v>
      </c>
      <c r="B22" s="83">
        <f>+G12-B21</f>
        <v>156.57301587301583</v>
      </c>
      <c r="C22" s="78"/>
      <c r="D22" s="78"/>
      <c r="E22" s="78"/>
      <c r="F22" s="78"/>
      <c r="G22" s="78"/>
      <c r="H22" s="78"/>
      <c r="I22" s="80"/>
      <c r="J22" s="80"/>
      <c r="K22" s="80"/>
      <c r="L22" s="80"/>
      <c r="M22" s="80"/>
    </row>
    <row r="23" spans="1:13" ht="14.25">
      <c r="A23" s="63"/>
      <c r="B23" s="64"/>
      <c r="C23" s="63"/>
      <c r="D23" s="63"/>
      <c r="E23" s="63"/>
      <c r="F23" s="63"/>
      <c r="G23" s="63"/>
      <c r="H23" s="63"/>
      <c r="I23" s="65"/>
      <c r="J23" s="65"/>
      <c r="K23" s="65"/>
      <c r="L23" s="65"/>
      <c r="M23" s="65"/>
    </row>
    <row r="24" spans="1:13" ht="12.75">
      <c r="A24" s="65"/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35" spans="1:8" ht="15">
      <c r="A235" s="61"/>
      <c r="B235" s="61"/>
      <c r="C235" s="61"/>
      <c r="D235" s="61"/>
      <c r="E235" s="61"/>
      <c r="F235" s="61"/>
      <c r="G235" s="61"/>
      <c r="H235" s="61"/>
    </row>
    <row r="236" spans="1:8" ht="15">
      <c r="A236" s="61"/>
      <c r="B236" s="61"/>
      <c r="C236" s="61"/>
      <c r="D236" s="61"/>
      <c r="E236" s="61"/>
      <c r="F236" s="61"/>
      <c r="G236" s="61"/>
      <c r="H236" s="61"/>
    </row>
    <row r="237" spans="1:8" ht="15">
      <c r="A237" s="61" t="s">
        <v>282</v>
      </c>
      <c r="B237" s="61" t="s">
        <v>283</v>
      </c>
      <c r="C237" s="61"/>
      <c r="D237" s="61"/>
      <c r="E237" s="61">
        <v>490000</v>
      </c>
      <c r="F237" s="61"/>
      <c r="G237" s="61"/>
      <c r="H237" s="61"/>
    </row>
    <row r="238" spans="1:8" ht="15">
      <c r="A238" s="61"/>
      <c r="B238" s="61"/>
      <c r="C238" s="61"/>
      <c r="D238" s="61"/>
      <c r="E238" s="61"/>
      <c r="F238" s="61"/>
      <c r="G238" s="61"/>
      <c r="H238" s="61"/>
    </row>
    <row r="239" spans="1:8" ht="15">
      <c r="A239" s="61">
        <v>716</v>
      </c>
      <c r="B239" s="61">
        <v>-116</v>
      </c>
      <c r="C239" s="61">
        <v>242</v>
      </c>
      <c r="D239" s="61"/>
      <c r="E239" s="61"/>
      <c r="F239" s="61"/>
      <c r="G239" s="61"/>
      <c r="H239" s="61"/>
    </row>
    <row r="240" spans="1:8" ht="15">
      <c r="A240" s="61"/>
      <c r="B240" s="61"/>
      <c r="C240" s="61"/>
      <c r="D240" s="61"/>
      <c r="E240" s="61"/>
      <c r="F240" s="61"/>
      <c r="G240" s="61"/>
      <c r="H240" s="61"/>
    </row>
    <row r="241" spans="1:8" ht="15">
      <c r="A241" s="61"/>
      <c r="B241" s="61"/>
      <c r="C241" s="61"/>
      <c r="D241" s="61"/>
      <c r="E241" s="61"/>
      <c r="F241" s="61"/>
      <c r="G241" s="61"/>
      <c r="H241" s="61"/>
    </row>
    <row r="242" spans="1:8" ht="15">
      <c r="A242" s="61"/>
      <c r="B242" s="61"/>
      <c r="C242" s="61"/>
      <c r="D242" s="61"/>
      <c r="E242" s="61"/>
      <c r="F242" s="61"/>
      <c r="G242" s="61"/>
      <c r="H242" s="61"/>
    </row>
    <row r="243" spans="1:8" ht="15">
      <c r="A243" s="61"/>
      <c r="B243" s="61"/>
      <c r="C243" s="61"/>
      <c r="D243" s="61"/>
      <c r="E243" s="61"/>
      <c r="F243" s="61"/>
      <c r="G243" s="61"/>
      <c r="H243" s="61"/>
    </row>
    <row r="244" spans="1:8" ht="15">
      <c r="A244" s="61"/>
      <c r="B244" s="61"/>
      <c r="C244" s="61"/>
      <c r="D244" s="61"/>
      <c r="E244" s="61"/>
      <c r="F244" s="61"/>
      <c r="G244" s="61"/>
      <c r="H244" s="61"/>
    </row>
    <row r="245" spans="1:8" ht="15">
      <c r="A245" s="61"/>
      <c r="B245" s="61"/>
      <c r="C245" s="61"/>
      <c r="D245" s="61"/>
      <c r="E245" s="61"/>
      <c r="F245" s="61"/>
      <c r="G245" s="61"/>
      <c r="H245" s="61"/>
    </row>
    <row r="246" spans="1:8" ht="15">
      <c r="A246" s="61"/>
      <c r="B246" s="61"/>
      <c r="C246" s="61"/>
      <c r="D246" s="61"/>
      <c r="E246" s="61"/>
      <c r="F246" s="61"/>
      <c r="G246" s="61"/>
      <c r="H246" s="61"/>
    </row>
    <row r="247" spans="1:8" ht="15">
      <c r="A247" s="61"/>
      <c r="B247" s="61"/>
      <c r="C247" s="61"/>
      <c r="D247" s="61"/>
      <c r="E247" s="61"/>
      <c r="F247" s="61"/>
      <c r="G247" s="61"/>
      <c r="H247" s="61"/>
    </row>
    <row r="248" spans="1:8" ht="15">
      <c r="A248" s="61"/>
      <c r="B248" s="61"/>
      <c r="C248" s="61"/>
      <c r="D248" s="61"/>
      <c r="E248" s="61"/>
      <c r="F248" s="61"/>
      <c r="G248" s="61"/>
      <c r="H248" s="61"/>
    </row>
    <row r="249" spans="1:8" ht="15">
      <c r="A249" s="61"/>
      <c r="B249" s="61"/>
      <c r="C249" s="61"/>
      <c r="D249" s="61"/>
      <c r="E249" s="61"/>
      <c r="F249" s="61"/>
      <c r="G249" s="61"/>
      <c r="H249" s="61"/>
    </row>
  </sheetData>
  <mergeCells count="1">
    <mergeCell ref="A1:L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2"/>
  <sheetViews>
    <sheetView zoomScale="110" zoomScaleNormal="110" workbookViewId="0" topLeftCell="A67">
      <selection activeCell="A226" sqref="A226:L226"/>
    </sheetView>
  </sheetViews>
  <sheetFormatPr defaultColWidth="9.140625" defaultRowHeight="12.75"/>
  <cols>
    <col min="1" max="1" width="42.8515625" style="3" customWidth="1"/>
    <col min="2" max="2" width="8.421875" style="3" customWidth="1"/>
    <col min="3" max="3" width="8.140625" style="3" bestFit="1" customWidth="1"/>
    <col min="4" max="4" width="7.8515625" style="3" customWidth="1"/>
    <col min="5" max="5" width="9.140625" style="3" customWidth="1"/>
    <col min="6" max="7" width="7.28125" style="3" customWidth="1"/>
    <col min="8" max="8" width="7.57421875" style="3" customWidth="1"/>
    <col min="9" max="9" width="7.28125" style="3" customWidth="1"/>
    <col min="10" max="10" width="8.8515625" style="3" customWidth="1"/>
    <col min="11" max="11" width="8.7109375" style="3" customWidth="1"/>
    <col min="12" max="12" width="9.140625" style="3" customWidth="1"/>
    <col min="13" max="13" width="8.8515625" style="3" customWidth="1"/>
    <col min="14" max="14" width="7.8515625" style="3" customWidth="1"/>
    <col min="15" max="15" width="8.140625" style="2" customWidth="1"/>
    <col min="16" max="16384" width="9.140625" style="3" customWidth="1"/>
  </cols>
  <sheetData>
    <row r="1" spans="1:14" ht="15.75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</row>
    <row r="2" spans="1:15" ht="15.75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4" t="s">
        <v>12</v>
      </c>
      <c r="M2" s="5" t="s">
        <v>13</v>
      </c>
      <c r="N2" s="5" t="s">
        <v>14</v>
      </c>
      <c r="O2" s="5" t="s">
        <v>15</v>
      </c>
    </row>
    <row r="3" spans="1:15" ht="15.75" thickBot="1">
      <c r="A3" s="9" t="s">
        <v>73</v>
      </c>
      <c r="B3" s="10">
        <v>100</v>
      </c>
      <c r="C3" s="11"/>
      <c r="D3" s="11"/>
      <c r="E3" s="11"/>
      <c r="F3" s="11"/>
      <c r="G3" s="11"/>
      <c r="H3" s="11"/>
      <c r="I3" s="11"/>
      <c r="J3" s="11"/>
      <c r="K3" s="11">
        <f>B3-J3</f>
        <v>100</v>
      </c>
      <c r="L3" s="57">
        <f>B3*40%*250%</f>
        <v>100</v>
      </c>
      <c r="M3" s="12"/>
      <c r="N3" s="7">
        <f>B3*40%</f>
        <v>40</v>
      </c>
      <c r="O3" s="8">
        <f>C3*9+D3*4+E3*4+H3*4+I3*4+N3*7</f>
        <v>280</v>
      </c>
    </row>
    <row r="4" spans="1:15" ht="15.75" thickBot="1">
      <c r="A4" s="21" t="s">
        <v>271</v>
      </c>
      <c r="B4" s="32">
        <v>100</v>
      </c>
      <c r="C4" s="32"/>
      <c r="D4" s="32">
        <f>B4*100%</f>
        <v>100</v>
      </c>
      <c r="E4" s="32"/>
      <c r="F4" s="32"/>
      <c r="G4" s="32">
        <f>D4</f>
        <v>100</v>
      </c>
      <c r="H4" s="32">
        <f>B4*0%</f>
        <v>0</v>
      </c>
      <c r="I4" s="32"/>
      <c r="J4" s="32">
        <f>B4</f>
        <v>100</v>
      </c>
      <c r="K4" s="32">
        <f>B4-J4</f>
        <v>0</v>
      </c>
      <c r="L4" s="56">
        <v>0</v>
      </c>
      <c r="M4" s="33">
        <v>0</v>
      </c>
      <c r="N4" s="24">
        <f>0</f>
        <v>0</v>
      </c>
      <c r="O4" s="8">
        <f>C4*9+D4*4+E4*4+H4*4+I4*4+N4*7</f>
        <v>400</v>
      </c>
    </row>
    <row r="5" spans="1:15" ht="15.75" thickBot="1">
      <c r="A5" s="9" t="s">
        <v>84</v>
      </c>
      <c r="B5" s="10">
        <v>100</v>
      </c>
      <c r="C5" s="11">
        <f>3.5%*B5</f>
        <v>3.5000000000000004</v>
      </c>
      <c r="D5" s="11">
        <f>3.5%*B5</f>
        <v>3.5000000000000004</v>
      </c>
      <c r="E5" s="11">
        <f>B5*5%</f>
        <v>5</v>
      </c>
      <c r="F5" s="29"/>
      <c r="G5" s="11">
        <f>D5+E5+F5</f>
        <v>8.5</v>
      </c>
      <c r="H5" s="11">
        <v>0</v>
      </c>
      <c r="I5" s="11">
        <v>0</v>
      </c>
      <c r="J5" s="11">
        <f>C5+D5+E5+F5+H5+I5</f>
        <v>12</v>
      </c>
      <c r="K5" s="11">
        <f>B5-J5</f>
        <v>88</v>
      </c>
      <c r="L5" s="57">
        <f>E5</f>
        <v>5</v>
      </c>
      <c r="M5" s="12">
        <f>E5*16%</f>
        <v>0.8</v>
      </c>
      <c r="N5" s="24">
        <f>0</f>
        <v>0</v>
      </c>
      <c r="O5" s="8">
        <f>C5*9+D5*4+E5*4+H5*4+I5*4+N5*7</f>
        <v>65.5</v>
      </c>
    </row>
    <row r="6" spans="1:15" ht="15.75" thickBot="1">
      <c r="A6" s="9" t="s">
        <v>113</v>
      </c>
      <c r="B6" s="10">
        <v>100</v>
      </c>
      <c r="C6" s="11">
        <f>35%*B6</f>
        <v>35</v>
      </c>
      <c r="D6" s="11">
        <f>2.4%*B6</f>
        <v>2.4</v>
      </c>
      <c r="E6" s="11">
        <f>B6*3.6%</f>
        <v>3.6000000000000005</v>
      </c>
      <c r="F6" s="11">
        <f>B6*0%</f>
        <v>0</v>
      </c>
      <c r="G6" s="11">
        <f>D6+E6+F6</f>
        <v>6</v>
      </c>
      <c r="H6" s="11">
        <v>0</v>
      </c>
      <c r="I6" s="11">
        <v>0</v>
      </c>
      <c r="J6" s="11">
        <f>C6+D6+E6+F6+H6+I6</f>
        <v>41</v>
      </c>
      <c r="K6" s="11">
        <f>B6-J6</f>
        <v>59</v>
      </c>
      <c r="L6" s="57">
        <f>E6</f>
        <v>3.6000000000000005</v>
      </c>
      <c r="M6" s="12">
        <f>E6*16%</f>
        <v>0.5760000000000001</v>
      </c>
      <c r="N6" s="7"/>
      <c r="O6" s="8"/>
    </row>
    <row r="7" spans="1:15" ht="15.75" thickBot="1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  <c r="M7" s="33"/>
      <c r="N7" s="7"/>
      <c r="O7" s="8"/>
    </row>
    <row r="8" spans="1:15" ht="15.75" thickBot="1">
      <c r="A8" s="21" t="s">
        <v>208</v>
      </c>
      <c r="B8" s="32">
        <v>100</v>
      </c>
      <c r="C8" s="32"/>
      <c r="D8" s="32"/>
      <c r="E8" s="32"/>
      <c r="F8" s="32"/>
      <c r="G8" s="32"/>
      <c r="H8" s="32">
        <f>95%*B8</f>
        <v>95</v>
      </c>
      <c r="I8" s="32"/>
      <c r="J8" s="32">
        <f>C8+D8+E8+F8+H8+I8</f>
        <v>95</v>
      </c>
      <c r="K8" s="32">
        <f aca="true" t="shared" si="0" ref="K8:K15">B8-J8</f>
        <v>5</v>
      </c>
      <c r="L8" s="56">
        <f>H8*30%*180%</f>
        <v>51.300000000000004</v>
      </c>
      <c r="M8" s="33">
        <f>B8*30%*75%</f>
        <v>22.5</v>
      </c>
      <c r="N8" s="7"/>
      <c r="O8" s="8"/>
    </row>
    <row r="9" spans="1:15" ht="15.75" thickBot="1">
      <c r="A9" s="9" t="s">
        <v>16</v>
      </c>
      <c r="B9" s="10">
        <v>100</v>
      </c>
      <c r="C9" s="11">
        <f>B9*0.1%</f>
        <v>0.1</v>
      </c>
      <c r="D9" s="11">
        <f>B9*0.9%</f>
        <v>0.9000000000000001</v>
      </c>
      <c r="E9" s="11">
        <f>0</f>
        <v>0</v>
      </c>
      <c r="F9" s="11">
        <f>B9*0.5%</f>
        <v>0.5</v>
      </c>
      <c r="G9" s="11">
        <f>0</f>
        <v>0</v>
      </c>
      <c r="H9" s="11">
        <f>B9*12%</f>
        <v>12</v>
      </c>
      <c r="I9" s="11">
        <f>B9*2.5%</f>
        <v>2.5</v>
      </c>
      <c r="J9" s="11">
        <f>C9+D9+F9+H9+I9</f>
        <v>16</v>
      </c>
      <c r="K9" s="11">
        <f t="shared" si="0"/>
        <v>84</v>
      </c>
      <c r="L9" s="57">
        <f>H9*50%+H9*50%*190%</f>
        <v>17.4</v>
      </c>
      <c r="M9" s="12">
        <f>H9*50%+H9*50%*140%</f>
        <v>14.399999999999999</v>
      </c>
      <c r="N9" s="7">
        <f>0</f>
        <v>0</v>
      </c>
      <c r="O9" s="8">
        <f aca="true" t="shared" si="1" ref="O9:O72">C9*9+D9*4+E9*4+H9*4+I9*4+N9*7</f>
        <v>62.5</v>
      </c>
    </row>
    <row r="10" spans="1:15" ht="15.75" thickBot="1">
      <c r="A10" s="9" t="s">
        <v>17</v>
      </c>
      <c r="B10" s="10">
        <v>100</v>
      </c>
      <c r="C10" s="11">
        <v>0</v>
      </c>
      <c r="D10" s="11">
        <f>B10*14%</f>
        <v>14.000000000000002</v>
      </c>
      <c r="E10" s="11"/>
      <c r="F10" s="11">
        <f>B10*1%</f>
        <v>1</v>
      </c>
      <c r="G10" s="11"/>
      <c r="H10" s="11"/>
      <c r="I10" s="11"/>
      <c r="J10" s="11">
        <f>C10+D10+E10+F10+H10+I10</f>
        <v>15.000000000000002</v>
      </c>
      <c r="K10" s="11">
        <f t="shared" si="0"/>
        <v>85</v>
      </c>
      <c r="L10" s="57"/>
      <c r="M10" s="12"/>
      <c r="N10" s="7">
        <f>0</f>
        <v>0</v>
      </c>
      <c r="O10" s="8">
        <f t="shared" si="1"/>
        <v>56.00000000000001</v>
      </c>
    </row>
    <row r="11" spans="1:15" ht="15.75" thickBot="1">
      <c r="A11" s="9" t="s">
        <v>18</v>
      </c>
      <c r="B11" s="10">
        <v>100</v>
      </c>
      <c r="C11" s="11">
        <f>B11*0.5%</f>
        <v>0.5</v>
      </c>
      <c r="D11" s="11">
        <f>B11*0.8%</f>
        <v>0.8</v>
      </c>
      <c r="E11" s="11">
        <f>0</f>
        <v>0</v>
      </c>
      <c r="F11" s="11">
        <f>B11*0.2%</f>
        <v>0.2</v>
      </c>
      <c r="G11" s="11">
        <f>0</f>
        <v>0</v>
      </c>
      <c r="H11" s="11">
        <f>B11*11%</f>
        <v>11</v>
      </c>
      <c r="I11" s="11">
        <f>B11*2.5%</f>
        <v>2.5</v>
      </c>
      <c r="J11" s="11">
        <f>C11+D11+F11+H11+I11</f>
        <v>15</v>
      </c>
      <c r="K11" s="11">
        <f t="shared" si="0"/>
        <v>85</v>
      </c>
      <c r="L11" s="57">
        <f>H11*50%+H11*50%*190%</f>
        <v>15.95</v>
      </c>
      <c r="M11" s="12">
        <f>H11*50%+H11*50%*140%</f>
        <v>13.2</v>
      </c>
      <c r="N11" s="7">
        <f>0</f>
        <v>0</v>
      </c>
      <c r="O11" s="8">
        <f t="shared" si="1"/>
        <v>61.7</v>
      </c>
    </row>
    <row r="12" spans="1:15" ht="15.75" thickBot="1">
      <c r="A12" s="9" t="s">
        <v>19</v>
      </c>
      <c r="B12" s="10">
        <v>100</v>
      </c>
      <c r="C12" s="11">
        <f>B12*1%</f>
        <v>1</v>
      </c>
      <c r="D12" s="11"/>
      <c r="E12" s="11"/>
      <c r="F12" s="11"/>
      <c r="G12" s="11"/>
      <c r="H12" s="11">
        <f>B12*80%</f>
        <v>80</v>
      </c>
      <c r="I12" s="11">
        <f>B12*18%</f>
        <v>18</v>
      </c>
      <c r="J12" s="11">
        <f>C12+H12+I12</f>
        <v>99</v>
      </c>
      <c r="K12" s="11">
        <f t="shared" si="0"/>
        <v>1</v>
      </c>
      <c r="L12" s="57">
        <f>H12+E12</f>
        <v>80</v>
      </c>
      <c r="M12" s="12">
        <f>H12+E12</f>
        <v>80</v>
      </c>
      <c r="N12" s="7">
        <f>0</f>
        <v>0</v>
      </c>
      <c r="O12" s="8">
        <f t="shared" si="1"/>
        <v>401</v>
      </c>
    </row>
    <row r="13" spans="1:15" ht="15.75" thickBot="1">
      <c r="A13" s="9" t="s">
        <v>20</v>
      </c>
      <c r="B13" s="10">
        <v>100</v>
      </c>
      <c r="C13" s="11">
        <f>B13*0.2%</f>
        <v>0.2</v>
      </c>
      <c r="D13" s="11">
        <f>B13*0.4%</f>
        <v>0.4</v>
      </c>
      <c r="E13" s="11"/>
      <c r="F13" s="11"/>
      <c r="G13" s="11"/>
      <c r="H13" s="11"/>
      <c r="I13" s="11">
        <f>B13*91%</f>
        <v>91</v>
      </c>
      <c r="J13" s="11">
        <f>I13+D13+C13</f>
        <v>91.60000000000001</v>
      </c>
      <c r="K13" s="11">
        <f t="shared" si="0"/>
        <v>8.399999999999991</v>
      </c>
      <c r="L13" s="57"/>
      <c r="M13" s="12"/>
      <c r="N13" s="7">
        <f>0</f>
        <v>0</v>
      </c>
      <c r="O13" s="8">
        <f t="shared" si="1"/>
        <v>367.4</v>
      </c>
    </row>
    <row r="14" spans="1:15" ht="15.75" thickBot="1">
      <c r="A14" s="9" t="s">
        <v>21</v>
      </c>
      <c r="B14" s="10">
        <v>100</v>
      </c>
      <c r="C14" s="11">
        <f>B14*0.2%</f>
        <v>0.2</v>
      </c>
      <c r="D14" s="11">
        <f>B14*0.4%</f>
        <v>0.4</v>
      </c>
      <c r="E14" s="11">
        <f>0</f>
        <v>0</v>
      </c>
      <c r="F14" s="11">
        <f>B14*0.4%</f>
        <v>0.4</v>
      </c>
      <c r="G14" s="11">
        <f>0</f>
        <v>0</v>
      </c>
      <c r="H14" s="11">
        <f>B14*11%</f>
        <v>11</v>
      </c>
      <c r="I14" s="11">
        <f>B14*1%</f>
        <v>1</v>
      </c>
      <c r="J14" s="11">
        <f>C14+D14+F14+H14+I14</f>
        <v>13</v>
      </c>
      <c r="K14" s="11">
        <f t="shared" si="0"/>
        <v>87</v>
      </c>
      <c r="L14" s="57">
        <f>H14*50%+H14*50%*190%</f>
        <v>15.95</v>
      </c>
      <c r="M14" s="12">
        <f>H14*50%+H14*50%*140%</f>
        <v>13.2</v>
      </c>
      <c r="N14" s="7">
        <f>0</f>
        <v>0</v>
      </c>
      <c r="O14" s="8">
        <f t="shared" si="1"/>
        <v>51.4</v>
      </c>
    </row>
    <row r="15" spans="1:15" ht="15.75" thickBot="1">
      <c r="A15" s="9" t="s">
        <v>22</v>
      </c>
      <c r="B15" s="10">
        <v>100</v>
      </c>
      <c r="C15" s="11">
        <f>B15*0.2%</f>
        <v>0.2</v>
      </c>
      <c r="D15" s="11">
        <f>B15*0.8%</f>
        <v>0.8</v>
      </c>
      <c r="E15" s="11">
        <f>0</f>
        <v>0</v>
      </c>
      <c r="F15" s="11">
        <f>B15*0.2%</f>
        <v>0.2</v>
      </c>
      <c r="G15" s="11">
        <f>0</f>
        <v>0</v>
      </c>
      <c r="H15" s="11">
        <f>B15*9%</f>
        <v>9</v>
      </c>
      <c r="I15" s="11">
        <f>B15*0.8%</f>
        <v>0.8</v>
      </c>
      <c r="J15" s="11">
        <f>C15+D15+F15+H15+I15</f>
        <v>11</v>
      </c>
      <c r="K15" s="11">
        <f t="shared" si="0"/>
        <v>89</v>
      </c>
      <c r="L15" s="57">
        <f>H15*50%+H15*50%*190%</f>
        <v>13.049999999999999</v>
      </c>
      <c r="M15" s="12">
        <f>H15*50%+H15*50%*140%</f>
        <v>10.8</v>
      </c>
      <c r="N15" s="7">
        <f>0</f>
        <v>0</v>
      </c>
      <c r="O15" s="8">
        <f t="shared" si="1"/>
        <v>44.2</v>
      </c>
    </row>
    <row r="16" spans="1:15" ht="15.75" thickBot="1">
      <c r="A16" s="9" t="s">
        <v>23</v>
      </c>
      <c r="B16" s="10">
        <v>100</v>
      </c>
      <c r="C16" s="11"/>
      <c r="D16" s="11"/>
      <c r="E16" s="11"/>
      <c r="F16" s="11"/>
      <c r="G16" s="11"/>
      <c r="H16" s="11"/>
      <c r="I16" s="11"/>
      <c r="J16" s="11"/>
      <c r="K16" s="11">
        <f>B16</f>
        <v>100</v>
      </c>
      <c r="L16" s="57">
        <f>B16*10%*250%</f>
        <v>25</v>
      </c>
      <c r="M16" s="12"/>
      <c r="N16" s="7">
        <f>0</f>
        <v>0</v>
      </c>
      <c r="O16" s="8">
        <f t="shared" si="1"/>
        <v>0</v>
      </c>
    </row>
    <row r="17" spans="1:15" ht="15.75" thickBot="1">
      <c r="A17" s="9" t="s">
        <v>24</v>
      </c>
      <c r="B17" s="10">
        <v>100</v>
      </c>
      <c r="C17" s="11">
        <f>B17*20%</f>
        <v>20</v>
      </c>
      <c r="D17" s="11">
        <f>B17*2%</f>
        <v>2</v>
      </c>
      <c r="E17" s="11">
        <f>0</f>
        <v>0</v>
      </c>
      <c r="F17" s="11">
        <f>B17*0.5%</f>
        <v>0.5</v>
      </c>
      <c r="G17" s="11">
        <f>0</f>
        <v>0</v>
      </c>
      <c r="H17" s="11">
        <f>B17*6%</f>
        <v>6</v>
      </c>
      <c r="I17" s="11">
        <f>B17*0.5%</f>
        <v>0.5</v>
      </c>
      <c r="J17" s="11">
        <f>C17+D17+F17+H17+I17</f>
        <v>29</v>
      </c>
      <c r="K17" s="11">
        <f aca="true" t="shared" si="2" ref="K17:K80">B17-J17</f>
        <v>71</v>
      </c>
      <c r="L17" s="57">
        <f>H17*50%+H17*50%*190%</f>
        <v>8.7</v>
      </c>
      <c r="M17" s="12">
        <f>H17*50%+H17*50%*140%</f>
        <v>7.199999999999999</v>
      </c>
      <c r="N17" s="7">
        <f>0</f>
        <v>0</v>
      </c>
      <c r="O17" s="8">
        <f t="shared" si="1"/>
        <v>214</v>
      </c>
    </row>
    <row r="18" spans="1:15" ht="15.75" thickBot="1">
      <c r="A18" s="9" t="s">
        <v>25</v>
      </c>
      <c r="B18" s="10">
        <v>100</v>
      </c>
      <c r="C18" s="11">
        <f>B18*0.2%</f>
        <v>0.2</v>
      </c>
      <c r="D18" s="11">
        <f>B18*1.5%</f>
        <v>1.5</v>
      </c>
      <c r="E18" s="11">
        <f>0</f>
        <v>0</v>
      </c>
      <c r="F18" s="11">
        <f>B18*1.3%</f>
        <v>1.3</v>
      </c>
      <c r="G18" s="11">
        <f>0</f>
        <v>0</v>
      </c>
      <c r="H18" s="11">
        <f>B18*16%</f>
        <v>16</v>
      </c>
      <c r="I18" s="11">
        <f>B18*5%</f>
        <v>5</v>
      </c>
      <c r="J18" s="11">
        <f>C18+D18+F18+H18+I18</f>
        <v>24</v>
      </c>
      <c r="K18" s="11">
        <f t="shared" si="2"/>
        <v>76</v>
      </c>
      <c r="L18" s="57">
        <f>H18*50%+H18*50%*190%</f>
        <v>23.2</v>
      </c>
      <c r="M18" s="12">
        <f>H18*50%+H18*50%*140%</f>
        <v>19.2</v>
      </c>
      <c r="N18" s="7">
        <f>0</f>
        <v>0</v>
      </c>
      <c r="O18" s="8">
        <f t="shared" si="1"/>
        <v>91.8</v>
      </c>
    </row>
    <row r="19" spans="1:15" ht="15.75" thickBot="1">
      <c r="A19" s="9" t="s">
        <v>26</v>
      </c>
      <c r="B19" s="10">
        <v>100</v>
      </c>
      <c r="C19" s="11">
        <f>B19*20.6%</f>
        <v>20.6</v>
      </c>
      <c r="D19" s="11"/>
      <c r="E19" s="11"/>
      <c r="F19" s="11"/>
      <c r="G19" s="11"/>
      <c r="H19" s="11">
        <f>B19*54.6%</f>
        <v>54.6</v>
      </c>
      <c r="I19" s="11">
        <f>B19*24.8%</f>
        <v>24.8</v>
      </c>
      <c r="J19" s="11">
        <f>C19+D19+E19+F19+H19+I19</f>
        <v>100</v>
      </c>
      <c r="K19" s="11">
        <f t="shared" si="2"/>
        <v>0</v>
      </c>
      <c r="L19" s="57">
        <f>B19*54.6%*18%*38%*180%+B19*54.6%*82%*29%*180%</f>
        <v>30.093336</v>
      </c>
      <c r="M19" s="12">
        <f>B19*54.6%*18%*38%*75%+B19*54.6%*82%*29%*75%</f>
        <v>12.538889999999999</v>
      </c>
      <c r="N19" s="7">
        <f>0</f>
        <v>0</v>
      </c>
      <c r="O19" s="8">
        <f t="shared" si="1"/>
        <v>503</v>
      </c>
    </row>
    <row r="20" spans="1:15" ht="15.75" thickBot="1">
      <c r="A20" s="9" t="s">
        <v>27</v>
      </c>
      <c r="B20" s="10">
        <v>100</v>
      </c>
      <c r="C20" s="11"/>
      <c r="D20" s="11">
        <f>B20*12%</f>
        <v>12</v>
      </c>
      <c r="E20" s="11"/>
      <c r="F20" s="11"/>
      <c r="G20" s="11"/>
      <c r="H20" s="11">
        <f>B20*81%</f>
        <v>81</v>
      </c>
      <c r="I20" s="11">
        <f>B20*7%</f>
        <v>7.000000000000001</v>
      </c>
      <c r="J20" s="11">
        <f>C20+D20+E20+F20+H20+I20</f>
        <v>100</v>
      </c>
      <c r="K20" s="11">
        <f t="shared" si="2"/>
        <v>0</v>
      </c>
      <c r="L20" s="57">
        <f>H20*40%*180%+H20*47%*30%*180%+H20*5%*42%*180%+H20*8%*18%*180%</f>
        <v>84.03912000000001</v>
      </c>
      <c r="M20" s="12">
        <f>H20*40%*75%+H20*47%*30%*75%+H20*5%*42%*75%+H20*8%*18%*75%</f>
        <v>35.0163</v>
      </c>
      <c r="N20" s="7">
        <f>0</f>
        <v>0</v>
      </c>
      <c r="O20" s="8">
        <f t="shared" si="1"/>
        <v>400</v>
      </c>
    </row>
    <row r="21" spans="1:15" ht="15.75" thickBot="1">
      <c r="A21" s="9" t="s">
        <v>28</v>
      </c>
      <c r="B21" s="10">
        <v>100</v>
      </c>
      <c r="C21" s="11">
        <f>B21*6.6%</f>
        <v>6.6000000000000005</v>
      </c>
      <c r="D21" s="11">
        <f>B21*1.1%</f>
        <v>1.1</v>
      </c>
      <c r="E21" s="11"/>
      <c r="F21" s="11"/>
      <c r="G21" s="11"/>
      <c r="H21" s="11">
        <f>B21*85.5%</f>
        <v>85.5</v>
      </c>
      <c r="I21" s="11"/>
      <c r="J21" s="11">
        <f>C21+D21+E21+F21+H21+I21</f>
        <v>93.2</v>
      </c>
      <c r="K21" s="11">
        <f t="shared" si="2"/>
        <v>6.799999999999997</v>
      </c>
      <c r="L21" s="57">
        <f>B21*85.5%*180%</f>
        <v>153.9</v>
      </c>
      <c r="M21" s="12">
        <f>B21*85.5%*75%</f>
        <v>64.125</v>
      </c>
      <c r="N21" s="7">
        <f>0</f>
        <v>0</v>
      </c>
      <c r="O21" s="8">
        <f t="shared" si="1"/>
        <v>405.8</v>
      </c>
    </row>
    <row r="22" spans="1:15" ht="15.75" thickBot="1">
      <c r="A22" s="13" t="s">
        <v>29</v>
      </c>
      <c r="B22" s="14">
        <v>100</v>
      </c>
      <c r="C22" s="15">
        <f>B22*16.3%</f>
        <v>16.3</v>
      </c>
      <c r="D22" s="11">
        <f>36%*G22</f>
        <v>2.844</v>
      </c>
      <c r="E22" s="11">
        <f>G22*54%</f>
        <v>4.266000000000001</v>
      </c>
      <c r="F22" s="11">
        <f>G22*10%</f>
        <v>0.79</v>
      </c>
      <c r="G22" s="11">
        <f>B22*7.9%</f>
        <v>7.9</v>
      </c>
      <c r="H22" s="15">
        <f>B22*69.2%</f>
        <v>69.2</v>
      </c>
      <c r="I22" s="15">
        <f>B22*4.6%</f>
        <v>4.6</v>
      </c>
      <c r="J22" s="15">
        <f>C22+G22+H22+I22</f>
        <v>98</v>
      </c>
      <c r="K22" s="15">
        <f t="shared" si="2"/>
        <v>2</v>
      </c>
      <c r="L22" s="58">
        <f>B22*108%</f>
        <v>108</v>
      </c>
      <c r="M22" s="16">
        <f>B22*45.5%</f>
        <v>45.5</v>
      </c>
      <c r="N22" s="7">
        <f>0</f>
        <v>0</v>
      </c>
      <c r="O22" s="8">
        <f t="shared" si="1"/>
        <v>470.34000000000003</v>
      </c>
    </row>
    <row r="23" spans="1:15" ht="15.75" thickBot="1">
      <c r="A23" s="17" t="s">
        <v>30</v>
      </c>
      <c r="B23" s="10">
        <v>100</v>
      </c>
      <c r="C23" s="11">
        <f>B23*16%</f>
        <v>16</v>
      </c>
      <c r="D23" s="11">
        <f>B23*45%</f>
        <v>45</v>
      </c>
      <c r="E23" s="11"/>
      <c r="F23" s="11"/>
      <c r="G23" s="11"/>
      <c r="H23" s="11">
        <f>B23*22%</f>
        <v>22</v>
      </c>
      <c r="I23" s="11">
        <f>B23*17%</f>
        <v>17</v>
      </c>
      <c r="J23" s="11">
        <f>I23+H23+D23+C23</f>
        <v>100</v>
      </c>
      <c r="K23" s="11">
        <f t="shared" si="2"/>
        <v>0</v>
      </c>
      <c r="L23" s="57">
        <f>H23*17%*38%*180%+H23*50%*21%*180%</f>
        <v>6.71616</v>
      </c>
      <c r="M23" s="12">
        <f>H23*17%*38%*75%+H23*50%*21%*75%</f>
        <v>2.7984</v>
      </c>
      <c r="N23" s="7">
        <f>0</f>
        <v>0</v>
      </c>
      <c r="O23" s="8">
        <f t="shared" si="1"/>
        <v>480</v>
      </c>
    </row>
    <row r="24" spans="1:15" ht="15.75" thickBot="1">
      <c r="A24" s="9" t="s">
        <v>31</v>
      </c>
      <c r="B24" s="10">
        <v>100</v>
      </c>
      <c r="C24" s="11">
        <f>B24*32%</f>
        <v>32</v>
      </c>
      <c r="D24" s="11">
        <f>B24*30%</f>
        <v>30</v>
      </c>
      <c r="E24" s="11">
        <f>B24*5%</f>
        <v>5</v>
      </c>
      <c r="F24" s="11"/>
      <c r="G24" s="11">
        <f>B24*35%</f>
        <v>35</v>
      </c>
      <c r="H24" s="11">
        <f>B24*20%</f>
        <v>20</v>
      </c>
      <c r="I24" s="11">
        <f>B24*10%</f>
        <v>10</v>
      </c>
      <c r="J24" s="11">
        <f>I24+H24+G24+C24</f>
        <v>97</v>
      </c>
      <c r="K24" s="11">
        <f t="shared" si="2"/>
        <v>3</v>
      </c>
      <c r="L24" s="57">
        <f>H24*180%+E24</f>
        <v>41</v>
      </c>
      <c r="M24" s="12">
        <f>E24*16%+H24*75%</f>
        <v>15.8</v>
      </c>
      <c r="N24" s="7">
        <f>0</f>
        <v>0</v>
      </c>
      <c r="O24" s="8">
        <f t="shared" si="1"/>
        <v>548</v>
      </c>
    </row>
    <row r="25" spans="1:15" ht="15.75" thickBot="1">
      <c r="A25" s="9" t="s">
        <v>32</v>
      </c>
      <c r="B25" s="10">
        <v>100</v>
      </c>
      <c r="C25" s="11">
        <f>B25*0%</f>
        <v>0</v>
      </c>
      <c r="D25" s="11">
        <f>G25*45%</f>
        <v>14.85</v>
      </c>
      <c r="E25" s="11">
        <f>G25*55%</f>
        <v>18.150000000000002</v>
      </c>
      <c r="F25" s="11"/>
      <c r="G25" s="11">
        <f>B25*33%</f>
        <v>33</v>
      </c>
      <c r="H25" s="11">
        <f>B25*48%</f>
        <v>48</v>
      </c>
      <c r="I25" s="11">
        <f>B25*19%</f>
        <v>19</v>
      </c>
      <c r="J25" s="11">
        <f>C25+D25+E25+F25+H25+I25</f>
        <v>100</v>
      </c>
      <c r="K25" s="11">
        <f t="shared" si="2"/>
        <v>0</v>
      </c>
      <c r="L25" s="57">
        <f>E25+H25*46%*180%</f>
        <v>57.894000000000005</v>
      </c>
      <c r="M25" s="12">
        <f>H25*46%*75%+E25*16%</f>
        <v>19.464000000000002</v>
      </c>
      <c r="N25" s="7">
        <f>0</f>
        <v>0</v>
      </c>
      <c r="O25" s="8">
        <f t="shared" si="1"/>
        <v>400</v>
      </c>
    </row>
    <row r="26" spans="1:15" ht="15.75" thickBot="1">
      <c r="A26" s="13" t="s">
        <v>33</v>
      </c>
      <c r="B26" s="14">
        <v>100</v>
      </c>
      <c r="C26" s="15">
        <f>B26*5.8%</f>
        <v>5.8</v>
      </c>
      <c r="D26" s="15">
        <f>G26*3.6%</f>
        <v>1.4400000000000002</v>
      </c>
      <c r="E26" s="15">
        <f>G26*54%</f>
        <v>21.6</v>
      </c>
      <c r="F26" s="15">
        <f>G26*10%</f>
        <v>4</v>
      </c>
      <c r="G26" s="15">
        <f>B26*40%</f>
        <v>40</v>
      </c>
      <c r="H26" s="15">
        <f>B26*40%</f>
        <v>40</v>
      </c>
      <c r="I26" s="15">
        <f>B26*10%</f>
        <v>10</v>
      </c>
      <c r="J26" s="15">
        <f>C26+G26+H26+I26</f>
        <v>95.8</v>
      </c>
      <c r="K26" s="15">
        <f t="shared" si="2"/>
        <v>4.200000000000003</v>
      </c>
      <c r="L26" s="58">
        <f>H26*180%+E26</f>
        <v>93.6</v>
      </c>
      <c r="M26" s="16">
        <f>H26*75%+E26*16%</f>
        <v>33.456</v>
      </c>
      <c r="N26" s="7">
        <f>0</f>
        <v>0</v>
      </c>
      <c r="O26" s="8">
        <f t="shared" si="1"/>
        <v>344.36</v>
      </c>
    </row>
    <row r="27" spans="1:15" ht="15.75" thickBot="1">
      <c r="A27" s="9" t="s">
        <v>34</v>
      </c>
      <c r="B27" s="10">
        <v>100</v>
      </c>
      <c r="C27" s="11">
        <f>B27*40%*1%</f>
        <v>0.4</v>
      </c>
      <c r="D27" s="11">
        <f>G27*36%%</f>
        <v>0.144</v>
      </c>
      <c r="E27" s="11">
        <f>G27*54%</f>
        <v>21.6</v>
      </c>
      <c r="F27" s="11">
        <f>G27*10%</f>
        <v>4</v>
      </c>
      <c r="G27" s="11">
        <f>B27*40%</f>
        <v>40</v>
      </c>
      <c r="H27" s="11">
        <f>B27*40%</f>
        <v>40</v>
      </c>
      <c r="I27" s="11">
        <f>B27*20%</f>
        <v>20</v>
      </c>
      <c r="J27" s="11">
        <f>C27+D27+E27+F27+H27+I27</f>
        <v>86.144</v>
      </c>
      <c r="K27" s="11">
        <f t="shared" si="2"/>
        <v>13.855999999999995</v>
      </c>
      <c r="L27" s="57">
        <f>E27+H27*180%</f>
        <v>93.6</v>
      </c>
      <c r="M27" s="12">
        <f>E27*16%+H27*75%</f>
        <v>33.456</v>
      </c>
      <c r="N27" s="7">
        <f>0</f>
        <v>0</v>
      </c>
      <c r="O27" s="8">
        <f t="shared" si="1"/>
        <v>330.576</v>
      </c>
    </row>
    <row r="28" spans="1:15" ht="15.75" thickBot="1">
      <c r="A28" s="13" t="s">
        <v>35</v>
      </c>
      <c r="B28" s="14">
        <v>100</v>
      </c>
      <c r="C28" s="15">
        <f>B28*13%</f>
        <v>13</v>
      </c>
      <c r="D28" s="15">
        <f>G28*36%</f>
        <v>9.18</v>
      </c>
      <c r="E28" s="15">
        <f>G28*54%</f>
        <v>13.770000000000001</v>
      </c>
      <c r="F28" s="15">
        <f>G28*10%</f>
        <v>2.5500000000000003</v>
      </c>
      <c r="G28" s="15">
        <f>B28*25.5%</f>
        <v>25.5</v>
      </c>
      <c r="H28" s="15">
        <f>B28*53.5%</f>
        <v>53.5</v>
      </c>
      <c r="I28" s="15">
        <f>B28*6%</f>
        <v>6</v>
      </c>
      <c r="J28" s="15">
        <f>C28+G28+H28+I28</f>
        <v>98</v>
      </c>
      <c r="K28" s="15">
        <f t="shared" si="2"/>
        <v>2</v>
      </c>
      <c r="L28" s="58">
        <f>B28*55%</f>
        <v>55.00000000000001</v>
      </c>
      <c r="M28" s="16">
        <f>B28*21.5%</f>
        <v>21.5</v>
      </c>
      <c r="N28" s="7">
        <f>0</f>
        <v>0</v>
      </c>
      <c r="O28" s="8">
        <f t="shared" si="1"/>
        <v>446.8</v>
      </c>
    </row>
    <row r="29" spans="1:15" ht="15.75" thickBot="1">
      <c r="A29" s="13" t="s">
        <v>36</v>
      </c>
      <c r="B29" s="14">
        <v>100</v>
      </c>
      <c r="C29" s="15">
        <f>B29*13%</f>
        <v>13</v>
      </c>
      <c r="D29" s="15">
        <f>G29*36%</f>
        <v>8.28</v>
      </c>
      <c r="E29" s="15">
        <f>G29*54%</f>
        <v>12.420000000000002</v>
      </c>
      <c r="F29" s="15">
        <f>G29*10%</f>
        <v>2.3000000000000003</v>
      </c>
      <c r="G29" s="15">
        <f>B29*23%</f>
        <v>23</v>
      </c>
      <c r="H29" s="15">
        <f>B29*55.5%</f>
        <v>55.50000000000001</v>
      </c>
      <c r="I29" s="15">
        <f>B29*6%</f>
        <v>6</v>
      </c>
      <c r="J29" s="15">
        <f>C29+G29+H29+I29</f>
        <v>97.5</v>
      </c>
      <c r="K29" s="15">
        <f t="shared" si="2"/>
        <v>2.5</v>
      </c>
      <c r="L29" s="58">
        <f>B29*52.5%</f>
        <v>52.5</v>
      </c>
      <c r="M29" s="16">
        <f>B29*21%</f>
        <v>21</v>
      </c>
      <c r="N29" s="7">
        <f>0</f>
        <v>0</v>
      </c>
      <c r="O29" s="8">
        <f t="shared" si="1"/>
        <v>445.80000000000007</v>
      </c>
    </row>
    <row r="30" spans="1:15" ht="15.75" thickBot="1">
      <c r="A30" s="9" t="s">
        <v>37</v>
      </c>
      <c r="B30" s="10">
        <v>100</v>
      </c>
      <c r="C30" s="11">
        <f>B30*27%</f>
        <v>27</v>
      </c>
      <c r="D30" s="11">
        <f>G30*36%</f>
        <v>10.439999999999998</v>
      </c>
      <c r="E30" s="11">
        <f>G30*54%</f>
        <v>15.659999999999998</v>
      </c>
      <c r="F30" s="11">
        <f>G30*10%</f>
        <v>2.9</v>
      </c>
      <c r="G30" s="11">
        <f>B30*29%</f>
        <v>28.999999999999996</v>
      </c>
      <c r="H30" s="11">
        <f>B30*34%</f>
        <v>34</v>
      </c>
      <c r="I30" s="11">
        <f>B30*8%</f>
        <v>8</v>
      </c>
      <c r="J30" s="11">
        <f>B30*98%</f>
        <v>98</v>
      </c>
      <c r="K30" s="11">
        <f t="shared" si="2"/>
        <v>2</v>
      </c>
      <c r="L30" s="57">
        <f>H30+E30</f>
        <v>49.66</v>
      </c>
      <c r="M30" s="12">
        <f>H30+E30*16%</f>
        <v>36.5056</v>
      </c>
      <c r="N30" s="7">
        <f>0</f>
        <v>0</v>
      </c>
      <c r="O30" s="8">
        <f t="shared" si="1"/>
        <v>515.4</v>
      </c>
    </row>
    <row r="31" spans="1:15" ht="15.75" thickBot="1">
      <c r="A31" s="17" t="s">
        <v>38</v>
      </c>
      <c r="B31" s="10">
        <v>100</v>
      </c>
      <c r="C31" s="11"/>
      <c r="D31" s="11">
        <f>G31*52%</f>
        <v>35.88</v>
      </c>
      <c r="E31" s="11">
        <f>G31*48%</f>
        <v>33.12</v>
      </c>
      <c r="F31" s="11"/>
      <c r="G31" s="11">
        <f>B31*69%</f>
        <v>69</v>
      </c>
      <c r="H31" s="11"/>
      <c r="I31" s="11">
        <f>B31*31%</f>
        <v>31</v>
      </c>
      <c r="J31" s="11">
        <f>C31+D31+E31+F31+H31+I31</f>
        <v>100</v>
      </c>
      <c r="K31" s="11">
        <f t="shared" si="2"/>
        <v>0</v>
      </c>
      <c r="L31" s="57">
        <f>E31</f>
        <v>33.12</v>
      </c>
      <c r="M31" s="12">
        <f>E31*16%</f>
        <v>5.2992</v>
      </c>
      <c r="N31" s="7">
        <f>0</f>
        <v>0</v>
      </c>
      <c r="O31" s="8">
        <f t="shared" si="1"/>
        <v>400</v>
      </c>
    </row>
    <row r="32" spans="1:15" ht="15.75" thickBot="1">
      <c r="A32" s="9" t="s">
        <v>39</v>
      </c>
      <c r="B32" s="10">
        <v>100</v>
      </c>
      <c r="C32" s="11"/>
      <c r="D32" s="11">
        <f>G32*45%</f>
        <v>14.85</v>
      </c>
      <c r="E32" s="11">
        <f>G32*55%</f>
        <v>18.150000000000002</v>
      </c>
      <c r="F32" s="11"/>
      <c r="G32" s="11">
        <f>B32*33%</f>
        <v>33</v>
      </c>
      <c r="H32" s="11">
        <f>B32*47%</f>
        <v>47</v>
      </c>
      <c r="I32" s="11">
        <f>B32*20%</f>
        <v>20</v>
      </c>
      <c r="J32" s="11">
        <f>C32+D32+E32+F32+H32+I32</f>
        <v>100</v>
      </c>
      <c r="K32" s="11">
        <f t="shared" si="2"/>
        <v>0</v>
      </c>
      <c r="L32" s="57">
        <f>H32*46%*180%+E32</f>
        <v>57.066</v>
      </c>
      <c r="M32" s="12">
        <f>H32*46%*75%+E32*16%</f>
        <v>19.119</v>
      </c>
      <c r="N32" s="7">
        <f>0</f>
        <v>0</v>
      </c>
      <c r="O32" s="8">
        <f t="shared" si="1"/>
        <v>400</v>
      </c>
    </row>
    <row r="33" spans="1:15" ht="15.75" thickBot="1">
      <c r="A33" s="9" t="s">
        <v>40</v>
      </c>
      <c r="B33" s="10">
        <v>100</v>
      </c>
      <c r="C33" s="11"/>
      <c r="D33" s="11">
        <f>G33*70%</f>
        <v>43.4</v>
      </c>
      <c r="E33" s="11">
        <f>G33*30%</f>
        <v>18.599999999999998</v>
      </c>
      <c r="F33" s="11"/>
      <c r="G33" s="11">
        <f>B33*62%</f>
        <v>62</v>
      </c>
      <c r="H33" s="11">
        <f>B33*19%</f>
        <v>19</v>
      </c>
      <c r="I33" s="11">
        <f>B33*19%</f>
        <v>19</v>
      </c>
      <c r="J33" s="11">
        <f>C33+D33+E33+F33+H33+I33</f>
        <v>100</v>
      </c>
      <c r="K33" s="11">
        <f t="shared" si="2"/>
        <v>0</v>
      </c>
      <c r="L33" s="57">
        <f>E33+(H33*50%*18%*180%)+(H33*50%*46%*180%)</f>
        <v>29.543999999999997</v>
      </c>
      <c r="M33" s="12">
        <f>E33*16%+H33*50%*18%*75%+H33*50%*46%*75%</f>
        <v>7.536</v>
      </c>
      <c r="N33" s="7">
        <f>0</f>
        <v>0</v>
      </c>
      <c r="O33" s="8">
        <f t="shared" si="1"/>
        <v>400</v>
      </c>
    </row>
    <row r="34" spans="1:15" ht="15.75" thickBot="1">
      <c r="A34" s="9" t="s">
        <v>41</v>
      </c>
      <c r="B34" s="18">
        <v>100</v>
      </c>
      <c r="C34" s="19"/>
      <c r="D34" s="19">
        <f>G34*41%</f>
        <v>13.53</v>
      </c>
      <c r="E34" s="19">
        <f>G34*59%</f>
        <v>19.47</v>
      </c>
      <c r="F34" s="19"/>
      <c r="G34" s="19">
        <f>B34*33%</f>
        <v>33</v>
      </c>
      <c r="H34" s="19">
        <f>B34*56%</f>
        <v>56.00000000000001</v>
      </c>
      <c r="I34" s="19">
        <f>B34*11%</f>
        <v>11</v>
      </c>
      <c r="J34" s="19">
        <f>C34+D34+E34+F34+H34+I34</f>
        <v>100</v>
      </c>
      <c r="K34" s="19">
        <f t="shared" si="2"/>
        <v>0</v>
      </c>
      <c r="L34" s="55">
        <f>H34*12.5%*18%*180%+E34+H34*87.5%*46%*180%</f>
        <v>62.31</v>
      </c>
      <c r="M34" s="20">
        <f>E34*16%+H34*12.5%*18%*75%+H34*87.5%*46%*75%</f>
        <v>20.965200000000003</v>
      </c>
      <c r="N34" s="7">
        <f>0</f>
        <v>0</v>
      </c>
      <c r="O34" s="8">
        <f t="shared" si="1"/>
        <v>400</v>
      </c>
    </row>
    <row r="35" spans="1:15" ht="15.75" thickBot="1">
      <c r="A35" s="21" t="s">
        <v>42</v>
      </c>
      <c r="B35" s="22">
        <v>100</v>
      </c>
      <c r="C35" s="11"/>
      <c r="D35" s="11">
        <f>B35*1.5%</f>
        <v>1.5</v>
      </c>
      <c r="E35" s="11"/>
      <c r="F35" s="11"/>
      <c r="G35" s="11"/>
      <c r="H35" s="11">
        <f>B35*4.5%</f>
        <v>4.5</v>
      </c>
      <c r="I35" s="11"/>
      <c r="J35" s="11">
        <f>D35+H35</f>
        <v>6</v>
      </c>
      <c r="K35" s="11">
        <f t="shared" si="2"/>
        <v>94</v>
      </c>
      <c r="L35" s="57">
        <f>H35+B35*4.5%*250%</f>
        <v>15.75</v>
      </c>
      <c r="M35" s="23">
        <f>H35</f>
        <v>4.5</v>
      </c>
      <c r="N35" s="24">
        <f>B35*3.5%</f>
        <v>3.5000000000000004</v>
      </c>
      <c r="O35" s="8">
        <f t="shared" si="1"/>
        <v>48.5</v>
      </c>
    </row>
    <row r="36" spans="1:15" ht="15.75" thickBot="1">
      <c r="A36" s="21" t="s">
        <v>43</v>
      </c>
      <c r="B36" s="25">
        <v>100</v>
      </c>
      <c r="C36" s="26"/>
      <c r="D36" s="26"/>
      <c r="E36" s="26"/>
      <c r="F36" s="26"/>
      <c r="G36" s="26"/>
      <c r="H36" s="26">
        <v>0</v>
      </c>
      <c r="I36" s="26"/>
      <c r="J36" s="26">
        <f>H36</f>
        <v>0</v>
      </c>
      <c r="K36" s="26">
        <f t="shared" si="2"/>
        <v>100</v>
      </c>
      <c r="L36" s="56">
        <f>B36*38%*250%+H36</f>
        <v>95</v>
      </c>
      <c r="M36" s="27">
        <f>H36</f>
        <v>0</v>
      </c>
      <c r="N36" s="7">
        <f>B36*40%</f>
        <v>40</v>
      </c>
      <c r="O36" s="8">
        <f t="shared" si="1"/>
        <v>280</v>
      </c>
    </row>
    <row r="37" spans="1:15" ht="15.75" thickBot="1">
      <c r="A37" s="9" t="s">
        <v>44</v>
      </c>
      <c r="B37" s="10">
        <v>100</v>
      </c>
      <c r="C37" s="11">
        <f>85%*B37</f>
        <v>85</v>
      </c>
      <c r="D37" s="11">
        <v>0</v>
      </c>
      <c r="E37" s="11">
        <v>0</v>
      </c>
      <c r="F37" s="11">
        <f>B37*1%</f>
        <v>1</v>
      </c>
      <c r="G37" s="11">
        <f>D37+E37+F37</f>
        <v>1</v>
      </c>
      <c r="H37" s="11">
        <v>0</v>
      </c>
      <c r="I37" s="11">
        <v>0</v>
      </c>
      <c r="J37" s="11">
        <f>C37+D37+E37+F37+H37+I37</f>
        <v>86</v>
      </c>
      <c r="K37" s="11">
        <f t="shared" si="2"/>
        <v>14</v>
      </c>
      <c r="L37" s="57">
        <v>0</v>
      </c>
      <c r="M37" s="12">
        <v>0</v>
      </c>
      <c r="N37" s="24">
        <f>0</f>
        <v>0</v>
      </c>
      <c r="O37" s="8">
        <f t="shared" si="1"/>
        <v>765</v>
      </c>
    </row>
    <row r="38" spans="1:15" ht="15.75" thickBot="1">
      <c r="A38" s="9" t="s">
        <v>45</v>
      </c>
      <c r="B38" s="10">
        <v>100</v>
      </c>
      <c r="C38" s="11">
        <f>B38*99%</f>
        <v>99</v>
      </c>
      <c r="D38" s="11"/>
      <c r="E38" s="11"/>
      <c r="F38" s="11"/>
      <c r="G38" s="11"/>
      <c r="H38" s="11"/>
      <c r="I38" s="11"/>
      <c r="J38" s="11">
        <f>C38</f>
        <v>99</v>
      </c>
      <c r="K38" s="11">
        <f t="shared" si="2"/>
        <v>1</v>
      </c>
      <c r="L38" s="57"/>
      <c r="M38" s="12"/>
      <c r="N38" s="28">
        <f>0</f>
        <v>0</v>
      </c>
      <c r="O38" s="8">
        <f t="shared" si="1"/>
        <v>891</v>
      </c>
    </row>
    <row r="39" spans="1:15" ht="15.75" thickBot="1">
      <c r="A39" s="21" t="s">
        <v>46</v>
      </c>
      <c r="B39" s="10">
        <v>100</v>
      </c>
      <c r="C39" s="11">
        <f>B39*23%</f>
        <v>23</v>
      </c>
      <c r="D39" s="11">
        <f>B39*18%</f>
        <v>18</v>
      </c>
      <c r="E39" s="11"/>
      <c r="F39" s="11">
        <f>B39*5%</f>
        <v>5</v>
      </c>
      <c r="G39" s="11"/>
      <c r="H39" s="11"/>
      <c r="I39" s="11">
        <f>B39*49%</f>
        <v>49</v>
      </c>
      <c r="J39" s="11">
        <f>C39+D39+E39+F39+H39+I39</f>
        <v>95</v>
      </c>
      <c r="K39" s="11">
        <f t="shared" si="2"/>
        <v>5</v>
      </c>
      <c r="L39" s="57"/>
      <c r="M39" s="12"/>
      <c r="N39" s="7">
        <f>0</f>
        <v>0</v>
      </c>
      <c r="O39" s="8">
        <f t="shared" si="1"/>
        <v>475</v>
      </c>
    </row>
    <row r="40" spans="1:15" ht="15.75" thickBot="1">
      <c r="A40" s="9" t="s">
        <v>47</v>
      </c>
      <c r="B40" s="10">
        <v>100</v>
      </c>
      <c r="C40" s="11">
        <f>B40*22%</f>
        <v>22</v>
      </c>
      <c r="D40" s="11">
        <f>B40*29%</f>
        <v>28.999999999999996</v>
      </c>
      <c r="E40" s="11"/>
      <c r="F40" s="11"/>
      <c r="G40" s="11"/>
      <c r="H40" s="11"/>
      <c r="I40" s="11">
        <f>B40*49%</f>
        <v>49</v>
      </c>
      <c r="J40" s="11">
        <f>C40+H40+I40+D40</f>
        <v>100</v>
      </c>
      <c r="K40" s="11">
        <f t="shared" si="2"/>
        <v>0</v>
      </c>
      <c r="L40" s="57">
        <f>H40+E40</f>
        <v>0</v>
      </c>
      <c r="M40" s="12">
        <f>H40+E40</f>
        <v>0</v>
      </c>
      <c r="N40" s="7">
        <f>0</f>
        <v>0</v>
      </c>
      <c r="O40" s="8">
        <f t="shared" si="1"/>
        <v>510</v>
      </c>
    </row>
    <row r="41" spans="1:15" ht="15.75" thickBot="1">
      <c r="A41" s="9" t="s">
        <v>48</v>
      </c>
      <c r="B41" s="10">
        <v>100</v>
      </c>
      <c r="C41" s="11">
        <f>12%*B41</f>
        <v>12</v>
      </c>
      <c r="D41" s="11">
        <v>0</v>
      </c>
      <c r="E41" s="11"/>
      <c r="F41" s="11">
        <v>0</v>
      </c>
      <c r="G41" s="11"/>
      <c r="H41" s="11"/>
      <c r="I41" s="11">
        <f>83%*B41</f>
        <v>83</v>
      </c>
      <c r="J41" s="11">
        <f>C41+D41+E41+F41+H41+I41</f>
        <v>95</v>
      </c>
      <c r="K41" s="11">
        <f t="shared" si="2"/>
        <v>5</v>
      </c>
      <c r="L41" s="57"/>
      <c r="M41" s="12"/>
      <c r="N41" s="24">
        <f>0</f>
        <v>0</v>
      </c>
      <c r="O41" s="8">
        <f t="shared" si="1"/>
        <v>440</v>
      </c>
    </row>
    <row r="42" spans="1:15" ht="15.75" thickBot="1">
      <c r="A42" s="9" t="s">
        <v>49</v>
      </c>
      <c r="B42" s="10">
        <v>100</v>
      </c>
      <c r="C42" s="11">
        <f>B42*0.5%</f>
        <v>0.5</v>
      </c>
      <c r="D42" s="11">
        <f>B42*1%</f>
        <v>1</v>
      </c>
      <c r="E42" s="11">
        <f>0</f>
        <v>0</v>
      </c>
      <c r="F42" s="11">
        <f>B42*0.5%</f>
        <v>0.5</v>
      </c>
      <c r="G42" s="11">
        <f>0</f>
        <v>0</v>
      </c>
      <c r="H42" s="11">
        <f>B42*15%</f>
        <v>15</v>
      </c>
      <c r="I42" s="11"/>
      <c r="J42" s="11">
        <f>C42+D42+F42+H42+I42</f>
        <v>17</v>
      </c>
      <c r="K42" s="11">
        <f t="shared" si="2"/>
        <v>83</v>
      </c>
      <c r="L42" s="57">
        <f>H42*50%+H42*50%*190%</f>
        <v>21.75</v>
      </c>
      <c r="M42" s="12">
        <f>H42*50%+H42*50%*140%</f>
        <v>18</v>
      </c>
      <c r="N42" s="24">
        <f>0</f>
        <v>0</v>
      </c>
      <c r="O42" s="8">
        <f t="shared" si="1"/>
        <v>68.5</v>
      </c>
    </row>
    <row r="43" spans="1:15" ht="15.75" thickBot="1">
      <c r="A43" s="9" t="s">
        <v>50</v>
      </c>
      <c r="B43" s="10">
        <v>100</v>
      </c>
      <c r="C43" s="11">
        <f>B43*3%</f>
        <v>3</v>
      </c>
      <c r="D43" s="11"/>
      <c r="E43" s="11"/>
      <c r="F43" s="11"/>
      <c r="G43" s="11"/>
      <c r="H43" s="11">
        <f>B43*1%</f>
        <v>1</v>
      </c>
      <c r="I43" s="11">
        <f>B43*6%</f>
        <v>6</v>
      </c>
      <c r="J43" s="11">
        <f>C43+D43+E43+F43+H43+I43</f>
        <v>10</v>
      </c>
      <c r="K43" s="11">
        <f t="shared" si="2"/>
        <v>90</v>
      </c>
      <c r="L43" s="57">
        <f>H43</f>
        <v>1</v>
      </c>
      <c r="M43" s="12">
        <f>H43</f>
        <v>1</v>
      </c>
      <c r="N43" s="7">
        <f>0</f>
        <v>0</v>
      </c>
      <c r="O43" s="8">
        <f t="shared" si="1"/>
        <v>55</v>
      </c>
    </row>
    <row r="44" spans="1:15" ht="15.75" thickBot="1">
      <c r="A44" s="9" t="s">
        <v>51</v>
      </c>
      <c r="B44" s="10">
        <v>100</v>
      </c>
      <c r="C44" s="11"/>
      <c r="D44" s="11">
        <f>B44*1%</f>
        <v>1</v>
      </c>
      <c r="E44" s="11"/>
      <c r="F44" s="11">
        <f>B44*1%</f>
        <v>1</v>
      </c>
      <c r="G44" s="11"/>
      <c r="H44" s="11"/>
      <c r="I44" s="11">
        <f>B44*98%</f>
        <v>98</v>
      </c>
      <c r="J44" s="11">
        <f>B44*99%</f>
        <v>99</v>
      </c>
      <c r="K44" s="11">
        <f t="shared" si="2"/>
        <v>1</v>
      </c>
      <c r="L44" s="57"/>
      <c r="M44" s="12"/>
      <c r="N44" s="7">
        <f>0</f>
        <v>0</v>
      </c>
      <c r="O44" s="8">
        <f t="shared" si="1"/>
        <v>396</v>
      </c>
    </row>
    <row r="45" spans="1:15" ht="15.75" thickBot="1">
      <c r="A45" s="9" t="s">
        <v>52</v>
      </c>
      <c r="B45" s="10">
        <v>100</v>
      </c>
      <c r="C45" s="11"/>
      <c r="D45" s="11">
        <f>B45*1.1%</f>
        <v>1.1</v>
      </c>
      <c r="E45" s="11">
        <f>0</f>
        <v>0</v>
      </c>
      <c r="F45" s="11">
        <f>B45*0.6%</f>
        <v>0.6</v>
      </c>
      <c r="G45" s="11">
        <f>0</f>
        <v>0</v>
      </c>
      <c r="H45" s="11">
        <f>B45*5%</f>
        <v>5</v>
      </c>
      <c r="I45" s="11">
        <f>B45*1.5%</f>
        <v>1.5</v>
      </c>
      <c r="J45" s="11">
        <f>I45+H45+F45+D45</f>
        <v>8.2</v>
      </c>
      <c r="K45" s="11">
        <f t="shared" si="2"/>
        <v>91.8</v>
      </c>
      <c r="L45" s="57">
        <f>H45*50%+H45*50%*190%</f>
        <v>7.25</v>
      </c>
      <c r="M45" s="12">
        <f>H45*50%+H45*50%*140%</f>
        <v>6</v>
      </c>
      <c r="N45" s="7">
        <f>0</f>
        <v>0</v>
      </c>
      <c r="O45" s="8">
        <f t="shared" si="1"/>
        <v>30.4</v>
      </c>
    </row>
    <row r="46" spans="1:15" ht="15.75" thickBot="1">
      <c r="A46" s="9" t="s">
        <v>53</v>
      </c>
      <c r="B46" s="10">
        <v>100</v>
      </c>
      <c r="C46" s="11"/>
      <c r="D46" s="11"/>
      <c r="E46" s="11"/>
      <c r="F46" s="11"/>
      <c r="G46" s="11"/>
      <c r="H46" s="11">
        <f>B46*2%</f>
        <v>2</v>
      </c>
      <c r="I46" s="11">
        <f>B46*1%</f>
        <v>1</v>
      </c>
      <c r="J46" s="11">
        <f>I46+H46</f>
        <v>3</v>
      </c>
      <c r="K46" s="11">
        <f t="shared" si="2"/>
        <v>97</v>
      </c>
      <c r="L46" s="57">
        <f>B46*10%*250%+H46</f>
        <v>27</v>
      </c>
      <c r="M46" s="12">
        <f>H46</f>
        <v>2</v>
      </c>
      <c r="N46" s="7">
        <f>B46*12%</f>
        <v>12</v>
      </c>
      <c r="O46" s="8">
        <f t="shared" si="1"/>
        <v>96</v>
      </c>
    </row>
    <row r="47" spans="1:15" ht="15.75" thickBot="1">
      <c r="A47" s="9" t="s">
        <v>54</v>
      </c>
      <c r="B47" s="10">
        <v>100</v>
      </c>
      <c r="C47" s="11">
        <f>B47*0.5%</f>
        <v>0.5</v>
      </c>
      <c r="D47" s="11">
        <f>B47*0.8%</f>
        <v>0.8</v>
      </c>
      <c r="E47" s="11">
        <f>0</f>
        <v>0</v>
      </c>
      <c r="F47" s="11">
        <f>B47*0.2%</f>
        <v>0.2</v>
      </c>
      <c r="G47" s="11">
        <f>0</f>
        <v>0</v>
      </c>
      <c r="H47" s="11">
        <f>B47*12%</f>
        <v>12</v>
      </c>
      <c r="I47" s="11">
        <f>B47*2.5%</f>
        <v>2.5</v>
      </c>
      <c r="J47" s="11">
        <f>C47+D47+F47+H47+I47</f>
        <v>16</v>
      </c>
      <c r="K47" s="11">
        <f t="shared" si="2"/>
        <v>84</v>
      </c>
      <c r="L47" s="57">
        <f>H47*50%+H47*50%*190%</f>
        <v>17.4</v>
      </c>
      <c r="M47" s="12">
        <f>H47*50%+H47*50%*140%</f>
        <v>14.399999999999999</v>
      </c>
      <c r="N47" s="7">
        <f>0</f>
        <v>0</v>
      </c>
      <c r="O47" s="8">
        <f t="shared" si="1"/>
        <v>65.7</v>
      </c>
    </row>
    <row r="48" spans="1:15" ht="15.75" thickBot="1">
      <c r="A48" s="9" t="s">
        <v>55</v>
      </c>
      <c r="B48" s="10">
        <v>100</v>
      </c>
      <c r="C48" s="11">
        <f>B48*34%</f>
        <v>34</v>
      </c>
      <c r="D48" s="11">
        <f>B48*9%</f>
        <v>9</v>
      </c>
      <c r="E48" s="11">
        <v>0</v>
      </c>
      <c r="F48" s="11">
        <v>0</v>
      </c>
      <c r="G48" s="11">
        <v>0</v>
      </c>
      <c r="H48" s="11">
        <f>B48*53%</f>
        <v>53</v>
      </c>
      <c r="I48" s="11">
        <f>B48*3%</f>
        <v>3</v>
      </c>
      <c r="J48" s="11">
        <f>C48+D48+E48+F48+H48+I48</f>
        <v>99</v>
      </c>
      <c r="K48" s="11">
        <f t="shared" si="2"/>
        <v>1</v>
      </c>
      <c r="L48" s="57">
        <f aca="true" t="shared" si="3" ref="L48:L54">H48</f>
        <v>53</v>
      </c>
      <c r="M48" s="12">
        <f aca="true" t="shared" si="4" ref="M48:M54">H48</f>
        <v>53</v>
      </c>
      <c r="N48" s="7">
        <f>0</f>
        <v>0</v>
      </c>
      <c r="O48" s="8">
        <f t="shared" si="1"/>
        <v>566</v>
      </c>
    </row>
    <row r="49" spans="1:15" ht="15.75" thickBot="1">
      <c r="A49" s="9" t="s">
        <v>56</v>
      </c>
      <c r="B49" s="10">
        <v>100</v>
      </c>
      <c r="C49" s="11">
        <f>B49*23.5%</f>
        <v>23.5</v>
      </c>
      <c r="D49" s="11">
        <f>G49*36%</f>
        <v>3.96</v>
      </c>
      <c r="E49" s="11">
        <f>G49*54%</f>
        <v>5.94</v>
      </c>
      <c r="F49" s="29">
        <f>G49*10%</f>
        <v>1.1</v>
      </c>
      <c r="G49" s="11">
        <f>B49*11%</f>
        <v>11</v>
      </c>
      <c r="H49" s="11">
        <f>B49*55%</f>
        <v>55.00000000000001</v>
      </c>
      <c r="I49" s="11">
        <f>B49*10%</f>
        <v>10</v>
      </c>
      <c r="J49" s="15">
        <f>C49+G49+H49+I49</f>
        <v>99.5</v>
      </c>
      <c r="K49" s="15">
        <f t="shared" si="2"/>
        <v>0.5</v>
      </c>
      <c r="L49" s="57">
        <f t="shared" si="3"/>
        <v>55.00000000000001</v>
      </c>
      <c r="M49" s="12">
        <f t="shared" si="4"/>
        <v>55.00000000000001</v>
      </c>
      <c r="N49" s="7">
        <f>0</f>
        <v>0</v>
      </c>
      <c r="O49" s="8">
        <f t="shared" si="1"/>
        <v>511.1</v>
      </c>
    </row>
    <row r="50" spans="1:15" ht="15.75" thickBot="1">
      <c r="A50" s="9" t="s">
        <v>57</v>
      </c>
      <c r="B50" s="10">
        <v>100</v>
      </c>
      <c r="C50" s="11">
        <f>B50*35%</f>
        <v>35</v>
      </c>
      <c r="D50" s="11">
        <f>B50*2%</f>
        <v>2</v>
      </c>
      <c r="E50" s="11"/>
      <c r="F50" s="11">
        <f>B50*1%</f>
        <v>1</v>
      </c>
      <c r="G50" s="11"/>
      <c r="H50" s="11">
        <f>B50*55%</f>
        <v>55.00000000000001</v>
      </c>
      <c r="I50" s="11">
        <f>B50*7%</f>
        <v>7.000000000000001</v>
      </c>
      <c r="J50" s="11">
        <f>B50</f>
        <v>100</v>
      </c>
      <c r="K50" s="11">
        <f t="shared" si="2"/>
        <v>0</v>
      </c>
      <c r="L50" s="57">
        <f t="shared" si="3"/>
        <v>55.00000000000001</v>
      </c>
      <c r="M50" s="12">
        <f t="shared" si="4"/>
        <v>55.00000000000001</v>
      </c>
      <c r="N50" s="7">
        <f>0</f>
        <v>0</v>
      </c>
      <c r="O50" s="8">
        <f t="shared" si="1"/>
        <v>571</v>
      </c>
    </row>
    <row r="51" spans="1:15" ht="15.75" thickBot="1">
      <c r="A51" s="9" t="s">
        <v>58</v>
      </c>
      <c r="B51" s="10">
        <v>100</v>
      </c>
      <c r="C51" s="11">
        <f>B51*32%</f>
        <v>32</v>
      </c>
      <c r="D51" s="11">
        <f>B51*5%</f>
        <v>5</v>
      </c>
      <c r="E51" s="11"/>
      <c r="F51" s="11">
        <v>0</v>
      </c>
      <c r="G51" s="11"/>
      <c r="H51" s="11">
        <f>B51*59%</f>
        <v>59</v>
      </c>
      <c r="I51" s="11">
        <f>B51*3%</f>
        <v>3</v>
      </c>
      <c r="J51" s="11">
        <f>C51+D51+E51+F51+H51+I51</f>
        <v>99</v>
      </c>
      <c r="K51" s="11">
        <f t="shared" si="2"/>
        <v>1</v>
      </c>
      <c r="L51" s="57">
        <f t="shared" si="3"/>
        <v>59</v>
      </c>
      <c r="M51" s="12">
        <f t="shared" si="4"/>
        <v>59</v>
      </c>
      <c r="N51" s="7">
        <f>0</f>
        <v>0</v>
      </c>
      <c r="O51" s="8">
        <f t="shared" si="1"/>
        <v>556</v>
      </c>
    </row>
    <row r="52" spans="1:15" ht="15.75" thickBot="1">
      <c r="A52" s="9" t="s">
        <v>59</v>
      </c>
      <c r="B52" s="10">
        <v>100</v>
      </c>
      <c r="C52" s="11">
        <f>B52*32%</f>
        <v>32</v>
      </c>
      <c r="D52" s="11">
        <f>B52*11%</f>
        <v>11</v>
      </c>
      <c r="E52" s="11"/>
      <c r="F52" s="11">
        <v>0</v>
      </c>
      <c r="G52" s="11"/>
      <c r="H52" s="11">
        <f>B52*49%</f>
        <v>49</v>
      </c>
      <c r="I52" s="11">
        <f>B52*5%</f>
        <v>5</v>
      </c>
      <c r="J52" s="11">
        <f>C52+D52+E52+F52+H52+I52</f>
        <v>97</v>
      </c>
      <c r="K52" s="11">
        <f t="shared" si="2"/>
        <v>3</v>
      </c>
      <c r="L52" s="57">
        <f t="shared" si="3"/>
        <v>49</v>
      </c>
      <c r="M52" s="12">
        <f t="shared" si="4"/>
        <v>49</v>
      </c>
      <c r="N52" s="7">
        <f>0</f>
        <v>0</v>
      </c>
      <c r="O52" s="8">
        <f t="shared" si="1"/>
        <v>548</v>
      </c>
    </row>
    <row r="53" spans="1:15" ht="15.75" thickBot="1">
      <c r="A53" s="9" t="s">
        <v>60</v>
      </c>
      <c r="B53" s="10">
        <v>100</v>
      </c>
      <c r="C53" s="11">
        <f>B53*17.1%</f>
        <v>17.1</v>
      </c>
      <c r="D53" s="11">
        <f>B53*18%</f>
        <v>18</v>
      </c>
      <c r="E53" s="11"/>
      <c r="F53" s="11"/>
      <c r="G53" s="11"/>
      <c r="H53" s="11">
        <f>B53*40%</f>
        <v>40</v>
      </c>
      <c r="I53" s="11">
        <f>B53*24.9%</f>
        <v>24.9</v>
      </c>
      <c r="J53" s="11">
        <f>C53+D53+E53+F53+H53+I53</f>
        <v>100</v>
      </c>
      <c r="K53" s="11">
        <f t="shared" si="2"/>
        <v>0</v>
      </c>
      <c r="L53" s="57">
        <f t="shared" si="3"/>
        <v>40</v>
      </c>
      <c r="M53" s="12">
        <f t="shared" si="4"/>
        <v>40</v>
      </c>
      <c r="N53" s="7">
        <f>0</f>
        <v>0</v>
      </c>
      <c r="O53" s="8">
        <f t="shared" si="1"/>
        <v>485.5</v>
      </c>
    </row>
    <row r="54" spans="1:15" ht="15.75" thickBot="1">
      <c r="A54" s="9" t="s">
        <v>61</v>
      </c>
      <c r="B54" s="10">
        <v>100</v>
      </c>
      <c r="C54" s="11"/>
      <c r="D54" s="11">
        <f>B54*0.5%</f>
        <v>0.5</v>
      </c>
      <c r="E54" s="11"/>
      <c r="F54" s="11"/>
      <c r="G54" s="11"/>
      <c r="H54" s="11">
        <f>B54*9.5%</f>
        <v>9.5</v>
      </c>
      <c r="I54" s="11">
        <f>B54*1%</f>
        <v>1</v>
      </c>
      <c r="J54" s="11">
        <f>C54+D54+E54+F54+H54+I54</f>
        <v>11</v>
      </c>
      <c r="K54" s="11">
        <f t="shared" si="2"/>
        <v>89</v>
      </c>
      <c r="L54" s="57">
        <f t="shared" si="3"/>
        <v>9.5</v>
      </c>
      <c r="M54" s="12">
        <f t="shared" si="4"/>
        <v>9.5</v>
      </c>
      <c r="N54" s="7">
        <f>0</f>
        <v>0</v>
      </c>
      <c r="O54" s="8">
        <f t="shared" si="1"/>
        <v>44</v>
      </c>
    </row>
    <row r="55" spans="1:15" ht="15.75" thickBot="1">
      <c r="A55" s="9" t="s">
        <v>62</v>
      </c>
      <c r="B55" s="10">
        <v>100</v>
      </c>
      <c r="C55" s="11">
        <f>B55*0.1%</f>
        <v>0.1</v>
      </c>
      <c r="D55" s="11">
        <f>B55*0.2%</f>
        <v>0.2</v>
      </c>
      <c r="E55" s="11">
        <f>0</f>
        <v>0</v>
      </c>
      <c r="F55" s="11">
        <f>B55*0.2%</f>
        <v>0.2</v>
      </c>
      <c r="G55" s="11">
        <f>0</f>
        <v>0</v>
      </c>
      <c r="H55" s="11">
        <f>B55*7.5%</f>
        <v>7.5</v>
      </c>
      <c r="I55" s="11">
        <f>B55*3.5%</f>
        <v>3.5000000000000004</v>
      </c>
      <c r="J55" s="11">
        <f>C55+D55+F55+H55+I55</f>
        <v>11.5</v>
      </c>
      <c r="K55" s="11">
        <f t="shared" si="2"/>
        <v>88.5</v>
      </c>
      <c r="L55" s="57">
        <f>H55*50%+H55*50%*190%</f>
        <v>10.875</v>
      </c>
      <c r="M55" s="12">
        <f>H55*50%+H55*50%*140%</f>
        <v>9</v>
      </c>
      <c r="N55" s="24">
        <f>0</f>
        <v>0</v>
      </c>
      <c r="O55" s="8">
        <f t="shared" si="1"/>
        <v>45.7</v>
      </c>
    </row>
    <row r="56" spans="1:15" ht="15.75" thickBot="1">
      <c r="A56" s="9" t="s">
        <v>63</v>
      </c>
      <c r="B56" s="10">
        <v>100</v>
      </c>
      <c r="C56" s="11"/>
      <c r="D56" s="11"/>
      <c r="E56" s="11"/>
      <c r="F56" s="11"/>
      <c r="G56" s="11"/>
      <c r="H56" s="11">
        <v>0</v>
      </c>
      <c r="I56" s="11"/>
      <c r="J56" s="11">
        <f>H56</f>
        <v>0</v>
      </c>
      <c r="K56" s="11">
        <f t="shared" si="2"/>
        <v>100</v>
      </c>
      <c r="L56" s="57">
        <f>B56*38%*250%+H56</f>
        <v>95</v>
      </c>
      <c r="M56" s="12">
        <f>H56</f>
        <v>0</v>
      </c>
      <c r="N56" s="30">
        <f>B56*40%</f>
        <v>40</v>
      </c>
      <c r="O56" s="8">
        <f t="shared" si="1"/>
        <v>280</v>
      </c>
    </row>
    <row r="57" spans="1:15" ht="15.75" thickBot="1">
      <c r="A57" s="9" t="s">
        <v>64</v>
      </c>
      <c r="B57" s="10">
        <v>100</v>
      </c>
      <c r="C57" s="11"/>
      <c r="D57" s="11"/>
      <c r="E57" s="11"/>
      <c r="F57" s="11"/>
      <c r="G57" s="11"/>
      <c r="H57" s="11">
        <f>B57*92%</f>
        <v>92</v>
      </c>
      <c r="I57" s="11"/>
      <c r="J57" s="11">
        <f>C57+D57+E57+F57+H57+I57</f>
        <v>92</v>
      </c>
      <c r="K57" s="11">
        <f t="shared" si="2"/>
        <v>8</v>
      </c>
      <c r="L57" s="57">
        <f>H57*180%</f>
        <v>165.6</v>
      </c>
      <c r="M57" s="12">
        <f>B57*75%</f>
        <v>75</v>
      </c>
      <c r="N57" s="7">
        <f>0</f>
        <v>0</v>
      </c>
      <c r="O57" s="8">
        <f t="shared" si="1"/>
        <v>368</v>
      </c>
    </row>
    <row r="58" spans="1:15" ht="15.75" thickBot="1">
      <c r="A58" s="9" t="s">
        <v>65</v>
      </c>
      <c r="B58" s="10">
        <v>100</v>
      </c>
      <c r="C58" s="11">
        <f>B58*6%</f>
        <v>6</v>
      </c>
      <c r="D58" s="11">
        <f>G58*36%</f>
        <v>8.64</v>
      </c>
      <c r="E58" s="11">
        <f>G58*54%</f>
        <v>12.96</v>
      </c>
      <c r="F58" s="11">
        <f>G58*10%</f>
        <v>2.4000000000000004</v>
      </c>
      <c r="G58" s="11">
        <f>B58*24%</f>
        <v>24</v>
      </c>
      <c r="H58" s="11">
        <f>B58*40%</f>
        <v>40</v>
      </c>
      <c r="I58" s="11"/>
      <c r="J58" s="11">
        <f>C58+G58+H58</f>
        <v>70</v>
      </c>
      <c r="K58" s="11">
        <f t="shared" si="2"/>
        <v>30</v>
      </c>
      <c r="L58" s="57">
        <f>E58+H58*50%+H58*50%*190%</f>
        <v>70.96000000000001</v>
      </c>
      <c r="M58" s="12">
        <f>E58*16%+H58*50%+H58*50%*125%</f>
        <v>47.0736</v>
      </c>
      <c r="N58" s="7">
        <f>0</f>
        <v>0</v>
      </c>
      <c r="O58" s="8">
        <f t="shared" si="1"/>
        <v>300.4</v>
      </c>
    </row>
    <row r="59" spans="1:15" ht="15.75" thickBot="1">
      <c r="A59" s="9" t="s">
        <v>66</v>
      </c>
      <c r="B59" s="10">
        <v>100</v>
      </c>
      <c r="C59" s="11"/>
      <c r="D59" s="11"/>
      <c r="E59" s="11"/>
      <c r="F59" s="11"/>
      <c r="G59" s="11"/>
      <c r="H59" s="11">
        <f>B59*24%</f>
        <v>24</v>
      </c>
      <c r="I59" s="11">
        <f>B59*76%</f>
        <v>76</v>
      </c>
      <c r="J59" s="11">
        <f>C59+D59+E59+F59+H59+I59</f>
        <v>100</v>
      </c>
      <c r="K59" s="11">
        <f t="shared" si="2"/>
        <v>0</v>
      </c>
      <c r="L59" s="57">
        <f>E59+H59*180%</f>
        <v>43.2</v>
      </c>
      <c r="M59" s="12">
        <f>E59*16%+H59*75%</f>
        <v>18</v>
      </c>
      <c r="N59" s="7">
        <f>0</f>
        <v>0</v>
      </c>
      <c r="O59" s="8">
        <f t="shared" si="1"/>
        <v>400</v>
      </c>
    </row>
    <row r="60" spans="1:15" ht="15.75" thickBot="1">
      <c r="A60" s="9" t="s">
        <v>67</v>
      </c>
      <c r="B60" s="10">
        <v>100</v>
      </c>
      <c r="C60" s="11">
        <f>B60*23.2%</f>
        <v>23.2</v>
      </c>
      <c r="D60" s="11"/>
      <c r="E60" s="11"/>
      <c r="F60" s="11"/>
      <c r="G60" s="11"/>
      <c r="H60" s="11">
        <f>B60*44.7%</f>
        <v>44.7</v>
      </c>
      <c r="I60" s="11">
        <f>B60*32%</f>
        <v>32</v>
      </c>
      <c r="J60" s="11">
        <f>C60+D60+E60+F60+H60+I60</f>
        <v>99.9</v>
      </c>
      <c r="K60" s="11">
        <f t="shared" si="2"/>
        <v>0.09999999999999432</v>
      </c>
      <c r="L60" s="57">
        <f>H60*180%</f>
        <v>80.46000000000001</v>
      </c>
      <c r="M60" s="12">
        <f>H60*75%</f>
        <v>33.525000000000006</v>
      </c>
      <c r="N60" s="7">
        <f>0</f>
        <v>0</v>
      </c>
      <c r="O60" s="8">
        <f t="shared" si="1"/>
        <v>515.6</v>
      </c>
    </row>
    <row r="61" spans="1:15" ht="15.75" thickBot="1">
      <c r="A61" s="9" t="s">
        <v>68</v>
      </c>
      <c r="B61" s="10">
        <v>100</v>
      </c>
      <c r="C61" s="11">
        <f>B61*0.5%</f>
        <v>0.5</v>
      </c>
      <c r="D61" s="11">
        <f>B61*1%</f>
        <v>1</v>
      </c>
      <c r="E61" s="11">
        <f>0</f>
        <v>0</v>
      </c>
      <c r="F61" s="11">
        <f>B61*0.5%</f>
        <v>0.5</v>
      </c>
      <c r="G61" s="11">
        <f>0</f>
        <v>0</v>
      </c>
      <c r="H61" s="11">
        <f>B61*15%</f>
        <v>15</v>
      </c>
      <c r="I61" s="11">
        <f>B61*3%</f>
        <v>3</v>
      </c>
      <c r="J61" s="11">
        <f>C61+D61+F61+H61+I61</f>
        <v>20</v>
      </c>
      <c r="K61" s="11">
        <f t="shared" si="2"/>
        <v>80</v>
      </c>
      <c r="L61" s="57">
        <f>H61*50%+H61*50%*190%</f>
        <v>21.75</v>
      </c>
      <c r="M61" s="12">
        <f>H61*50%+H61*50%*140%</f>
        <v>18</v>
      </c>
      <c r="N61" s="7">
        <f>0</f>
        <v>0</v>
      </c>
      <c r="O61" s="8">
        <f t="shared" si="1"/>
        <v>80.5</v>
      </c>
    </row>
    <row r="62" spans="1:15" ht="15.75" thickBot="1">
      <c r="A62" s="9" t="s">
        <v>69</v>
      </c>
      <c r="B62" s="10">
        <v>100</v>
      </c>
      <c r="C62" s="11">
        <f>B62*0.1%</f>
        <v>0.1</v>
      </c>
      <c r="D62" s="11">
        <f>B62*0.8%</f>
        <v>0.8</v>
      </c>
      <c r="E62" s="11">
        <f>0</f>
        <v>0</v>
      </c>
      <c r="F62" s="11">
        <f>B62*0.1%</f>
        <v>0.1</v>
      </c>
      <c r="G62" s="11">
        <f>0</f>
        <v>0</v>
      </c>
      <c r="H62" s="11">
        <f>B62*13%</f>
        <v>13</v>
      </c>
      <c r="I62" s="11">
        <f>B62*3%</f>
        <v>3</v>
      </c>
      <c r="J62" s="11">
        <f>C62+D62+F62+H62+I62</f>
        <v>17</v>
      </c>
      <c r="K62" s="11">
        <f t="shared" si="2"/>
        <v>83</v>
      </c>
      <c r="L62" s="57">
        <f>H62*50%+H62*50%*190%</f>
        <v>18.85</v>
      </c>
      <c r="M62" s="12">
        <f>H62*50%+H62*50%*140%</f>
        <v>15.6</v>
      </c>
      <c r="N62" s="7">
        <f>0</f>
        <v>0</v>
      </c>
      <c r="O62" s="8">
        <f t="shared" si="1"/>
        <v>68.1</v>
      </c>
    </row>
    <row r="63" spans="1:15" ht="15.75" thickBot="1">
      <c r="A63" s="31" t="s">
        <v>70</v>
      </c>
      <c r="B63" s="18">
        <v>100</v>
      </c>
      <c r="C63" s="19">
        <f>B63*0.4%</f>
        <v>0.4</v>
      </c>
      <c r="D63" s="19">
        <f>B63*0.8%</f>
        <v>0.8</v>
      </c>
      <c r="E63" s="19">
        <f>0</f>
        <v>0</v>
      </c>
      <c r="F63" s="19">
        <f>B63*0.3%</f>
        <v>0.3</v>
      </c>
      <c r="G63" s="19">
        <f>0</f>
        <v>0</v>
      </c>
      <c r="H63" s="19">
        <f>B63*8%</f>
        <v>8</v>
      </c>
      <c r="I63" s="19">
        <f>B63*1.5%</f>
        <v>1.5</v>
      </c>
      <c r="J63" s="19">
        <f>C63+D63+F63+H63+I63</f>
        <v>11</v>
      </c>
      <c r="K63" s="19">
        <f t="shared" si="2"/>
        <v>89</v>
      </c>
      <c r="L63" s="55">
        <f>H63*50%+H63*50%*190%</f>
        <v>11.6</v>
      </c>
      <c r="M63" s="20">
        <f>H63*50%+H63*50%*140%</f>
        <v>9.6</v>
      </c>
      <c r="N63" s="7">
        <f>0</f>
        <v>0</v>
      </c>
      <c r="O63" s="8">
        <f t="shared" si="1"/>
        <v>44.8</v>
      </c>
    </row>
    <row r="64" spans="1:15" ht="15.75" thickBot="1">
      <c r="A64" s="9" t="s">
        <v>71</v>
      </c>
      <c r="B64" s="22">
        <v>100</v>
      </c>
      <c r="C64" s="11"/>
      <c r="D64" s="11"/>
      <c r="E64" s="11"/>
      <c r="F64" s="11"/>
      <c r="G64" s="11"/>
      <c r="H64" s="11">
        <f>B64*100%</f>
        <v>100</v>
      </c>
      <c r="I64" s="11"/>
      <c r="J64" s="11">
        <f>C64+D64+E64+F64+H64+I64</f>
        <v>100</v>
      </c>
      <c r="K64" s="11">
        <f t="shared" si="2"/>
        <v>0</v>
      </c>
      <c r="L64" s="57">
        <f>H64*190%</f>
        <v>190</v>
      </c>
      <c r="M64" s="23">
        <f>B64*140%</f>
        <v>140</v>
      </c>
      <c r="N64" s="24">
        <f>0</f>
        <v>0</v>
      </c>
      <c r="O64" s="8">
        <f t="shared" si="1"/>
        <v>400</v>
      </c>
    </row>
    <row r="65" spans="1:15" ht="15.75" thickBot="1">
      <c r="A65" s="21" t="s">
        <v>72</v>
      </c>
      <c r="B65" s="25">
        <v>100</v>
      </c>
      <c r="C65" s="26"/>
      <c r="D65" s="26"/>
      <c r="E65" s="26"/>
      <c r="F65" s="26"/>
      <c r="G65" s="26"/>
      <c r="H65" s="26"/>
      <c r="I65" s="26"/>
      <c r="J65" s="26"/>
      <c r="K65" s="26">
        <f t="shared" si="2"/>
        <v>100</v>
      </c>
      <c r="L65" s="56">
        <f>B65*36%*250%</f>
        <v>90</v>
      </c>
      <c r="M65" s="27"/>
      <c r="N65" s="7">
        <f>B65*35%</f>
        <v>35</v>
      </c>
      <c r="O65" s="8">
        <f t="shared" si="1"/>
        <v>245</v>
      </c>
    </row>
    <row r="66" spans="1:15" ht="15.75" thickBot="1">
      <c r="A66" s="9" t="s">
        <v>73</v>
      </c>
      <c r="B66" s="10">
        <v>100</v>
      </c>
      <c r="C66" s="11"/>
      <c r="D66" s="11"/>
      <c r="E66" s="11"/>
      <c r="F66" s="11"/>
      <c r="G66" s="11"/>
      <c r="H66" s="11"/>
      <c r="I66" s="11"/>
      <c r="J66" s="11"/>
      <c r="K66" s="11">
        <f t="shared" si="2"/>
        <v>100</v>
      </c>
      <c r="L66" s="57">
        <f>B66*40%*250%</f>
        <v>100</v>
      </c>
      <c r="M66" s="12"/>
      <c r="N66" s="7">
        <f>B66*40%</f>
        <v>40</v>
      </c>
      <c r="O66" s="8">
        <f t="shared" si="1"/>
        <v>280</v>
      </c>
    </row>
    <row r="67" spans="1:15" ht="15.75" thickBot="1">
      <c r="A67" s="9" t="s">
        <v>74</v>
      </c>
      <c r="B67" s="10">
        <v>100</v>
      </c>
      <c r="C67" s="11">
        <f>100%*B67</f>
        <v>100</v>
      </c>
      <c r="D67" s="11"/>
      <c r="E67" s="11"/>
      <c r="F67" s="11">
        <v>0</v>
      </c>
      <c r="G67" s="11"/>
      <c r="H67" s="11"/>
      <c r="I67" s="11"/>
      <c r="J67" s="11">
        <f>C67+D67+E67+F67+H67+I67</f>
        <v>100</v>
      </c>
      <c r="K67" s="11">
        <f t="shared" si="2"/>
        <v>0</v>
      </c>
      <c r="L67" s="57"/>
      <c r="M67" s="12"/>
      <c r="N67" s="7">
        <f>0</f>
        <v>0</v>
      </c>
      <c r="O67" s="8">
        <f t="shared" si="1"/>
        <v>900</v>
      </c>
    </row>
    <row r="68" spans="1:15" ht="15.75" thickBot="1">
      <c r="A68" s="9" t="s">
        <v>75</v>
      </c>
      <c r="B68" s="10">
        <v>100</v>
      </c>
      <c r="C68" s="11">
        <f>B68*25%</f>
        <v>25</v>
      </c>
      <c r="D68" s="11">
        <f>B68*7%</f>
        <v>7.000000000000001</v>
      </c>
      <c r="E68" s="11">
        <f>B68*14%</f>
        <v>14.000000000000002</v>
      </c>
      <c r="F68" s="11">
        <f>B68*1%</f>
        <v>1</v>
      </c>
      <c r="G68" s="11">
        <f>B68*22%</f>
        <v>22</v>
      </c>
      <c r="H68" s="11">
        <f>B68*47%</f>
        <v>47</v>
      </c>
      <c r="I68" s="11"/>
      <c r="J68" s="11">
        <f>C68+D68+E68+F68+H68+I68</f>
        <v>94</v>
      </c>
      <c r="K68" s="11">
        <f t="shared" si="2"/>
        <v>6</v>
      </c>
      <c r="L68" s="57">
        <f>H68*180%+E68</f>
        <v>98.60000000000001</v>
      </c>
      <c r="M68" s="12">
        <f>E68*16%+H68*75%</f>
        <v>37.49</v>
      </c>
      <c r="N68" s="7">
        <f>0</f>
        <v>0</v>
      </c>
      <c r="O68" s="8">
        <f t="shared" si="1"/>
        <v>497</v>
      </c>
    </row>
    <row r="69" spans="1:15" ht="15.75" thickBot="1">
      <c r="A69" s="9" t="s">
        <v>76</v>
      </c>
      <c r="B69" s="10">
        <v>100</v>
      </c>
      <c r="C69" s="11"/>
      <c r="D69" s="11"/>
      <c r="E69" s="11"/>
      <c r="F69" s="11"/>
      <c r="G69" s="11"/>
      <c r="H69" s="11">
        <f>B69*95%</f>
        <v>95</v>
      </c>
      <c r="I69" s="11"/>
      <c r="J69" s="11">
        <f>H69</f>
        <v>95</v>
      </c>
      <c r="K69" s="11">
        <f t="shared" si="2"/>
        <v>5</v>
      </c>
      <c r="L69" s="57">
        <f>H69*10%</f>
        <v>9.5</v>
      </c>
      <c r="M69" s="12">
        <f>H69*10%</f>
        <v>9.5</v>
      </c>
      <c r="N69" s="24">
        <f>0</f>
        <v>0</v>
      </c>
      <c r="O69" s="8">
        <f t="shared" si="1"/>
        <v>380</v>
      </c>
    </row>
    <row r="70" spans="1:15" ht="15.75" thickBot="1">
      <c r="A70" s="9" t="s">
        <v>77</v>
      </c>
      <c r="B70" s="10">
        <v>100</v>
      </c>
      <c r="C70" s="11">
        <f>B70*0.2%</f>
        <v>0.2</v>
      </c>
      <c r="D70" s="11">
        <f>B70*0.3%</f>
        <v>0.3</v>
      </c>
      <c r="E70" s="11">
        <f>0</f>
        <v>0</v>
      </c>
      <c r="F70" s="11">
        <f>B70*1%</f>
        <v>1</v>
      </c>
      <c r="G70" s="11">
        <f>0</f>
        <v>0</v>
      </c>
      <c r="H70" s="11">
        <f>B70*8%</f>
        <v>8</v>
      </c>
      <c r="I70" s="11">
        <f>B70*3.5%</f>
        <v>3.5000000000000004</v>
      </c>
      <c r="J70" s="11">
        <f>C70+D70+F70+H70+I70</f>
        <v>13</v>
      </c>
      <c r="K70" s="11">
        <f t="shared" si="2"/>
        <v>87</v>
      </c>
      <c r="L70" s="57">
        <f>H70*50%+H70*50%*190%</f>
        <v>11.6</v>
      </c>
      <c r="M70" s="12">
        <f>H70*50%+H70*50%*140%</f>
        <v>9.6</v>
      </c>
      <c r="N70" s="24">
        <f>0</f>
        <v>0</v>
      </c>
      <c r="O70" s="8">
        <f t="shared" si="1"/>
        <v>49</v>
      </c>
    </row>
    <row r="71" spans="1:15" ht="15.75" thickBot="1">
      <c r="A71" s="9" t="s">
        <v>78</v>
      </c>
      <c r="B71" s="10">
        <v>100</v>
      </c>
      <c r="C71" s="11">
        <f>B71*0.3%</f>
        <v>0.3</v>
      </c>
      <c r="D71" s="11">
        <f>B71*1.3%</f>
        <v>1.3</v>
      </c>
      <c r="E71" s="11">
        <f>0</f>
        <v>0</v>
      </c>
      <c r="F71" s="11">
        <f>B71*0.4%</f>
        <v>0.4</v>
      </c>
      <c r="G71" s="11">
        <f>0</f>
        <v>0</v>
      </c>
      <c r="H71" s="11">
        <f>B71*8%</f>
        <v>8</v>
      </c>
      <c r="I71" s="11">
        <f>B71*3%</f>
        <v>3</v>
      </c>
      <c r="J71" s="11">
        <f>C71+D71+F71+H71+I71</f>
        <v>13</v>
      </c>
      <c r="K71" s="11">
        <f t="shared" si="2"/>
        <v>87</v>
      </c>
      <c r="L71" s="57">
        <f>H71*50%+H71*50%*190%</f>
        <v>11.6</v>
      </c>
      <c r="M71" s="12">
        <f>H71*50%+H71*50%*140%</f>
        <v>9.6</v>
      </c>
      <c r="N71" s="24">
        <f>0</f>
        <v>0</v>
      </c>
      <c r="O71" s="8">
        <f t="shared" si="1"/>
        <v>51.9</v>
      </c>
    </row>
    <row r="72" spans="1:15" ht="15.75" thickBot="1">
      <c r="A72" s="9" t="s">
        <v>79</v>
      </c>
      <c r="B72" s="10">
        <v>100</v>
      </c>
      <c r="C72" s="11">
        <f>9%*B72</f>
        <v>9</v>
      </c>
      <c r="D72" s="11">
        <f>8%*B72</f>
        <v>8</v>
      </c>
      <c r="E72" s="11">
        <f>B72*13%</f>
        <v>13</v>
      </c>
      <c r="F72" s="11">
        <f>B72*1.8%</f>
        <v>1.8000000000000003</v>
      </c>
      <c r="G72" s="11">
        <f>D72+E72+F72</f>
        <v>22.8</v>
      </c>
      <c r="H72" s="11">
        <f>42%*B72</f>
        <v>42</v>
      </c>
      <c r="I72" s="11">
        <v>0</v>
      </c>
      <c r="J72" s="11">
        <f>C72+D72+E72+F72+H72+I72</f>
        <v>73.8</v>
      </c>
      <c r="K72" s="11">
        <f t="shared" si="2"/>
        <v>26.200000000000003</v>
      </c>
      <c r="L72" s="57">
        <f>E72+H72*145%</f>
        <v>73.9</v>
      </c>
      <c r="M72" s="12">
        <f>E72*16%+H72*112.5%</f>
        <v>49.33</v>
      </c>
      <c r="N72" s="24">
        <f>0</f>
        <v>0</v>
      </c>
      <c r="O72" s="8">
        <f t="shared" si="1"/>
        <v>333</v>
      </c>
    </row>
    <row r="73" spans="1:15" ht="15.75" thickBot="1">
      <c r="A73" s="9" t="s">
        <v>80</v>
      </c>
      <c r="B73" s="10">
        <v>100</v>
      </c>
      <c r="C73" s="11">
        <f>B73*8.5%</f>
        <v>8.5</v>
      </c>
      <c r="D73" s="11">
        <f>B73*4.5%</f>
        <v>4.5</v>
      </c>
      <c r="E73" s="11">
        <f>B73*5.1%</f>
        <v>5.1</v>
      </c>
      <c r="F73" s="11">
        <f>B73*0.7%</f>
        <v>0.7</v>
      </c>
      <c r="G73" s="11">
        <f>D73+E73+F73</f>
        <v>10.299999999999999</v>
      </c>
      <c r="H73" s="11"/>
      <c r="I73" s="11"/>
      <c r="J73" s="11">
        <f>C73+G73</f>
        <v>18.799999999999997</v>
      </c>
      <c r="K73" s="11">
        <f t="shared" si="2"/>
        <v>81.2</v>
      </c>
      <c r="L73" s="57">
        <f>E73</f>
        <v>5.1</v>
      </c>
      <c r="M73" s="12">
        <f>E73*16%</f>
        <v>0.816</v>
      </c>
      <c r="N73" s="24">
        <f>0</f>
        <v>0</v>
      </c>
      <c r="O73" s="8">
        <f aca="true" t="shared" si="5" ref="O73:O136">C73*9+D73*4+E73*4+H73*4+I73*4+N73*7</f>
        <v>114.9</v>
      </c>
    </row>
    <row r="74" spans="1:15" ht="15.75" thickBot="1">
      <c r="A74" s="9" t="s">
        <v>81</v>
      </c>
      <c r="B74" s="10">
        <v>100</v>
      </c>
      <c r="C74" s="11">
        <f>B74*45%</f>
        <v>45</v>
      </c>
      <c r="D74" s="11">
        <f>B74*15%</f>
        <v>15</v>
      </c>
      <c r="E74" s="11"/>
      <c r="F74" s="11"/>
      <c r="G74" s="11"/>
      <c r="H74" s="11">
        <f>B74*7%+B74*13%</f>
        <v>20</v>
      </c>
      <c r="I74" s="11">
        <f>B74*20%</f>
        <v>20</v>
      </c>
      <c r="J74" s="11">
        <f>B74</f>
        <v>100</v>
      </c>
      <c r="K74" s="11">
        <f t="shared" si="2"/>
        <v>0</v>
      </c>
      <c r="L74" s="57">
        <f>B74*7%*20%*180%+B74*13%</f>
        <v>15.520000000000001</v>
      </c>
      <c r="M74" s="12">
        <f>B74*7%*20%*75%+B74*13%</f>
        <v>14.05</v>
      </c>
      <c r="N74" s="24">
        <f>0</f>
        <v>0</v>
      </c>
      <c r="O74" s="8">
        <f t="shared" si="5"/>
        <v>625</v>
      </c>
    </row>
    <row r="75" spans="1:15" ht="15.75" thickBot="1">
      <c r="A75" s="9" t="s">
        <v>82</v>
      </c>
      <c r="B75" s="10">
        <v>100</v>
      </c>
      <c r="C75" s="11">
        <f>B75*1.6%</f>
        <v>1.6</v>
      </c>
      <c r="D75" s="11">
        <f>B75*0.6%</f>
        <v>0.6</v>
      </c>
      <c r="E75" s="11"/>
      <c r="F75" s="11">
        <f>B75*0.1%</f>
        <v>0.1</v>
      </c>
      <c r="G75" s="11"/>
      <c r="H75" s="11">
        <f>B75*1.7%</f>
        <v>1.7000000000000002</v>
      </c>
      <c r="I75" s="11"/>
      <c r="J75" s="11">
        <f>H75+D75+C75+F75</f>
        <v>4</v>
      </c>
      <c r="K75" s="11">
        <f t="shared" si="2"/>
        <v>96</v>
      </c>
      <c r="L75" s="57">
        <f>H75</f>
        <v>1.7000000000000002</v>
      </c>
      <c r="M75" s="12">
        <f>H75</f>
        <v>1.7000000000000002</v>
      </c>
      <c r="N75" s="24">
        <f>0</f>
        <v>0</v>
      </c>
      <c r="O75" s="8">
        <f t="shared" si="5"/>
        <v>23.6</v>
      </c>
    </row>
    <row r="76" spans="1:15" ht="15.75" thickBot="1">
      <c r="A76" s="9" t="s">
        <v>83</v>
      </c>
      <c r="B76" s="10">
        <v>100</v>
      </c>
      <c r="C76" s="11">
        <f>B76*9%</f>
        <v>9</v>
      </c>
      <c r="D76" s="11">
        <f>B76*7.5%</f>
        <v>7.5</v>
      </c>
      <c r="E76" s="11">
        <f>B76*11%</f>
        <v>11</v>
      </c>
      <c r="F76" s="11">
        <f>B76*1.5%</f>
        <v>1.5</v>
      </c>
      <c r="G76" s="11">
        <f>D76+E76+F76</f>
        <v>20</v>
      </c>
      <c r="H76" s="11">
        <v>0</v>
      </c>
      <c r="I76" s="11">
        <v>0</v>
      </c>
      <c r="J76" s="11">
        <f aca="true" t="shared" si="6" ref="J76:J82">C76+D76+E76+F76+H76+I76</f>
        <v>29</v>
      </c>
      <c r="K76" s="11">
        <f t="shared" si="2"/>
        <v>71</v>
      </c>
      <c r="L76" s="57">
        <f aca="true" t="shared" si="7" ref="L76:L82">E76</f>
        <v>11</v>
      </c>
      <c r="M76" s="12">
        <f aca="true" t="shared" si="8" ref="M76:M82">E76*16%</f>
        <v>1.76</v>
      </c>
      <c r="N76" s="24">
        <f>0</f>
        <v>0</v>
      </c>
      <c r="O76" s="8">
        <f t="shared" si="5"/>
        <v>155</v>
      </c>
    </row>
    <row r="77" spans="1:15" ht="15.75" thickBot="1">
      <c r="A77" s="9" t="s">
        <v>84</v>
      </c>
      <c r="B77" s="10">
        <v>100</v>
      </c>
      <c r="C77" s="11">
        <f>3.5%*B77</f>
        <v>3.5000000000000004</v>
      </c>
      <c r="D77" s="11">
        <f>3.5%*B77</f>
        <v>3.5000000000000004</v>
      </c>
      <c r="E77" s="11">
        <f>B77*4.5%</f>
        <v>4.5</v>
      </c>
      <c r="F77" s="29">
        <f>B77*1%</f>
        <v>1</v>
      </c>
      <c r="G77" s="11">
        <f>D77+E77+F77</f>
        <v>9</v>
      </c>
      <c r="H77" s="11">
        <v>0</v>
      </c>
      <c r="I77" s="11">
        <v>0</v>
      </c>
      <c r="J77" s="11">
        <f t="shared" si="6"/>
        <v>12.5</v>
      </c>
      <c r="K77" s="11">
        <f t="shared" si="2"/>
        <v>87.5</v>
      </c>
      <c r="L77" s="57">
        <f t="shared" si="7"/>
        <v>4.5</v>
      </c>
      <c r="M77" s="12">
        <f t="shared" si="8"/>
        <v>0.72</v>
      </c>
      <c r="N77" s="24">
        <f>0</f>
        <v>0</v>
      </c>
      <c r="O77" s="8">
        <f t="shared" si="5"/>
        <v>63.50000000000001</v>
      </c>
    </row>
    <row r="78" spans="1:15" ht="15.75" thickBot="1">
      <c r="A78" s="9" t="s">
        <v>85</v>
      </c>
      <c r="B78" s="10">
        <v>100</v>
      </c>
      <c r="C78" s="11">
        <f>B78*1.8%</f>
        <v>1.8000000000000003</v>
      </c>
      <c r="D78" s="11">
        <f>B78*3.5%</f>
        <v>3.5000000000000004</v>
      </c>
      <c r="E78" s="11">
        <f>B78*4.5%</f>
        <v>4.5</v>
      </c>
      <c r="F78" s="29">
        <f>B78*1%</f>
        <v>1</v>
      </c>
      <c r="G78" s="11">
        <f>B78*9%</f>
        <v>9</v>
      </c>
      <c r="H78" s="11"/>
      <c r="I78" s="11"/>
      <c r="J78" s="11">
        <f t="shared" si="6"/>
        <v>10.8</v>
      </c>
      <c r="K78" s="11">
        <f t="shared" si="2"/>
        <v>89.2</v>
      </c>
      <c r="L78" s="57">
        <f t="shared" si="7"/>
        <v>4.5</v>
      </c>
      <c r="M78" s="12">
        <f t="shared" si="8"/>
        <v>0.72</v>
      </c>
      <c r="N78" s="24">
        <f>0</f>
        <v>0</v>
      </c>
      <c r="O78" s="8">
        <f t="shared" si="5"/>
        <v>48.2</v>
      </c>
    </row>
    <row r="79" spans="1:15" ht="15.75" thickBot="1">
      <c r="A79" s="9" t="s">
        <v>86</v>
      </c>
      <c r="B79" s="10">
        <v>100</v>
      </c>
      <c r="C79" s="11">
        <f>B79*0.2%</f>
        <v>0.2</v>
      </c>
      <c r="D79" s="11">
        <f>3.5%*B79</f>
        <v>3.5000000000000004</v>
      </c>
      <c r="E79" s="11">
        <f>B79*4.5%</f>
        <v>4.5</v>
      </c>
      <c r="F79" s="29">
        <f>B79*1%</f>
        <v>1</v>
      </c>
      <c r="G79" s="11">
        <f>D79+E79+F79</f>
        <v>9</v>
      </c>
      <c r="H79" s="11">
        <v>0</v>
      </c>
      <c r="I79" s="11">
        <v>0</v>
      </c>
      <c r="J79" s="11">
        <f t="shared" si="6"/>
        <v>9.200000000000001</v>
      </c>
      <c r="K79" s="11">
        <f t="shared" si="2"/>
        <v>90.8</v>
      </c>
      <c r="L79" s="57">
        <f t="shared" si="7"/>
        <v>4.5</v>
      </c>
      <c r="M79" s="12">
        <f t="shared" si="8"/>
        <v>0.72</v>
      </c>
      <c r="N79" s="24">
        <f>0</f>
        <v>0</v>
      </c>
      <c r="O79" s="8">
        <f t="shared" si="5"/>
        <v>33.800000000000004</v>
      </c>
    </row>
    <row r="80" spans="1:15" ht="15.75" thickBot="1">
      <c r="A80" s="9" t="s">
        <v>87</v>
      </c>
      <c r="B80" s="10">
        <v>100</v>
      </c>
      <c r="C80" s="11">
        <f>26%*B80</f>
        <v>26</v>
      </c>
      <c r="D80" s="11">
        <f>28%*B80</f>
        <v>28.000000000000004</v>
      </c>
      <c r="E80" s="11">
        <f>B80*38%</f>
        <v>38</v>
      </c>
      <c r="F80" s="11">
        <f>B80*5%</f>
        <v>5</v>
      </c>
      <c r="G80" s="11">
        <f>D80+E80+F12</f>
        <v>66</v>
      </c>
      <c r="H80" s="11">
        <v>0</v>
      </c>
      <c r="I80" s="11">
        <v>0</v>
      </c>
      <c r="J80" s="11">
        <f t="shared" si="6"/>
        <v>97</v>
      </c>
      <c r="K80" s="11">
        <f t="shared" si="2"/>
        <v>3</v>
      </c>
      <c r="L80" s="57">
        <f t="shared" si="7"/>
        <v>38</v>
      </c>
      <c r="M80" s="12">
        <f t="shared" si="8"/>
        <v>6.08</v>
      </c>
      <c r="N80" s="24">
        <f>0</f>
        <v>0</v>
      </c>
      <c r="O80" s="8">
        <f t="shared" si="5"/>
        <v>498</v>
      </c>
    </row>
    <row r="81" spans="1:15" ht="15.75" thickBot="1">
      <c r="A81" s="31" t="s">
        <v>88</v>
      </c>
      <c r="B81" s="18">
        <v>100</v>
      </c>
      <c r="C81" s="19">
        <f>1%*B81</f>
        <v>1</v>
      </c>
      <c r="D81" s="19">
        <f>36%*B81</f>
        <v>36</v>
      </c>
      <c r="E81" s="19">
        <f>B81*52%</f>
        <v>52</v>
      </c>
      <c r="F81" s="19">
        <f>B81*8%</f>
        <v>8</v>
      </c>
      <c r="G81" s="19">
        <f>D81+E81+F81</f>
        <v>96</v>
      </c>
      <c r="H81" s="19">
        <v>0</v>
      </c>
      <c r="I81" s="19">
        <v>0</v>
      </c>
      <c r="J81" s="19">
        <f t="shared" si="6"/>
        <v>97</v>
      </c>
      <c r="K81" s="19">
        <f aca="true" t="shared" si="9" ref="K81:K144">B81-J81</f>
        <v>3</v>
      </c>
      <c r="L81" s="55">
        <f t="shared" si="7"/>
        <v>52</v>
      </c>
      <c r="M81" s="20">
        <f t="shared" si="8"/>
        <v>8.32</v>
      </c>
      <c r="N81" s="24">
        <f>0</f>
        <v>0</v>
      </c>
      <c r="O81" s="8">
        <f t="shared" si="5"/>
        <v>361</v>
      </c>
    </row>
    <row r="82" spans="1:15" ht="15.75" thickBot="1">
      <c r="A82" s="9" t="s">
        <v>89</v>
      </c>
      <c r="B82" s="22">
        <v>100</v>
      </c>
      <c r="C82" s="11">
        <f>B82*12%</f>
        <v>12</v>
      </c>
      <c r="D82" s="11">
        <f>B82*28%</f>
        <v>28.000000000000004</v>
      </c>
      <c r="E82" s="11">
        <f>B82*50%</f>
        <v>50</v>
      </c>
      <c r="F82" s="11">
        <f>B82*7%</f>
        <v>7.000000000000001</v>
      </c>
      <c r="G82" s="11">
        <f>D82+E82+F82</f>
        <v>85</v>
      </c>
      <c r="H82" s="11">
        <v>0</v>
      </c>
      <c r="I82" s="11">
        <v>0</v>
      </c>
      <c r="J82" s="11">
        <f t="shared" si="6"/>
        <v>97</v>
      </c>
      <c r="K82" s="11">
        <f t="shared" si="9"/>
        <v>3</v>
      </c>
      <c r="L82" s="57">
        <f t="shared" si="7"/>
        <v>50</v>
      </c>
      <c r="M82" s="23">
        <f t="shared" si="8"/>
        <v>8</v>
      </c>
      <c r="N82" s="24">
        <f>0</f>
        <v>0</v>
      </c>
      <c r="O82" s="8">
        <f t="shared" si="5"/>
        <v>420</v>
      </c>
    </row>
    <row r="83" spans="1:15" ht="15.75" thickBot="1">
      <c r="A83" s="21" t="s">
        <v>5</v>
      </c>
      <c r="B83" s="25">
        <v>100</v>
      </c>
      <c r="C83" s="26"/>
      <c r="D83" s="26"/>
      <c r="E83" s="26">
        <f>B83</f>
        <v>100</v>
      </c>
      <c r="F83" s="26"/>
      <c r="G83" s="26"/>
      <c r="H83" s="26">
        <f>B83</f>
        <v>100</v>
      </c>
      <c r="I83" s="26"/>
      <c r="J83" s="26">
        <f>B83</f>
        <v>100</v>
      </c>
      <c r="K83" s="26">
        <f t="shared" si="9"/>
        <v>0</v>
      </c>
      <c r="L83" s="56">
        <f>H83</f>
        <v>100</v>
      </c>
      <c r="M83" s="27">
        <f>B83*16%</f>
        <v>16</v>
      </c>
      <c r="N83" s="24">
        <f>0</f>
        <v>0</v>
      </c>
      <c r="O83" s="8">
        <f t="shared" si="5"/>
        <v>800</v>
      </c>
    </row>
    <row r="84" spans="1:15" ht="15.75" thickBot="1">
      <c r="A84" s="9" t="s">
        <v>90</v>
      </c>
      <c r="B84" s="10">
        <v>100</v>
      </c>
      <c r="C84" s="11">
        <f>B84*0.3%</f>
        <v>0.3</v>
      </c>
      <c r="D84" s="11">
        <f>B84*0.7%</f>
        <v>0.7</v>
      </c>
      <c r="E84" s="11">
        <f>0</f>
        <v>0</v>
      </c>
      <c r="F84" s="11">
        <f>B84*0.5%</f>
        <v>0.5</v>
      </c>
      <c r="G84" s="11">
        <f>0</f>
        <v>0</v>
      </c>
      <c r="H84" s="11">
        <f>B84*4%</f>
        <v>4</v>
      </c>
      <c r="I84" s="11">
        <f>B84*3%</f>
        <v>3</v>
      </c>
      <c r="J84" s="11">
        <f>C84+D84+F84+H84+I84</f>
        <v>8.5</v>
      </c>
      <c r="K84" s="11">
        <f t="shared" si="9"/>
        <v>91.5</v>
      </c>
      <c r="L84" s="57">
        <f>H84*50%+H84*50%*190%</f>
        <v>5.8</v>
      </c>
      <c r="M84" s="12">
        <f>H84*50%+H84*50%*140%</f>
        <v>4.8</v>
      </c>
      <c r="N84" s="24">
        <f>0</f>
        <v>0</v>
      </c>
      <c r="O84" s="8">
        <f t="shared" si="5"/>
        <v>33.5</v>
      </c>
    </row>
    <row r="85" spans="1:15" ht="15.75" thickBot="1">
      <c r="A85" s="9" t="s">
        <v>91</v>
      </c>
      <c r="B85" s="10">
        <v>100</v>
      </c>
      <c r="C85" s="11">
        <f>0</f>
        <v>0</v>
      </c>
      <c r="D85" s="11">
        <f>B85*0.3%</f>
        <v>0.3</v>
      </c>
      <c r="E85" s="11">
        <f>0</f>
        <v>0</v>
      </c>
      <c r="F85" s="11">
        <f>B85*0.7%</f>
        <v>0.7</v>
      </c>
      <c r="G85" s="11">
        <f>0</f>
        <v>0</v>
      </c>
      <c r="H85" s="11">
        <f>B85*3%</f>
        <v>3</v>
      </c>
      <c r="I85" s="11">
        <f>B85*5%</f>
        <v>5</v>
      </c>
      <c r="J85" s="11">
        <f>C85+D85+F85+H85+I85</f>
        <v>9</v>
      </c>
      <c r="K85" s="11">
        <f t="shared" si="9"/>
        <v>91</v>
      </c>
      <c r="L85" s="57">
        <f>H85*50%+H85*50%*190%</f>
        <v>4.35</v>
      </c>
      <c r="M85" s="12">
        <f>H85*50%+H85*50%*140%</f>
        <v>3.5999999999999996</v>
      </c>
      <c r="N85" s="24">
        <f>0</f>
        <v>0</v>
      </c>
      <c r="O85" s="8">
        <f t="shared" si="5"/>
        <v>33.2</v>
      </c>
    </row>
    <row r="86" spans="1:15" ht="15.75" thickBot="1">
      <c r="A86" s="9" t="s">
        <v>92</v>
      </c>
      <c r="B86" s="10">
        <v>100</v>
      </c>
      <c r="C86" s="11"/>
      <c r="D86" s="11">
        <f>B86*2%</f>
        <v>2</v>
      </c>
      <c r="E86" s="11"/>
      <c r="F86" s="29">
        <f>B86*3%</f>
        <v>3</v>
      </c>
      <c r="G86" s="11"/>
      <c r="H86" s="11">
        <f>B86*25%</f>
        <v>25</v>
      </c>
      <c r="I86" s="11">
        <f>B86*70%</f>
        <v>70</v>
      </c>
      <c r="J86" s="15">
        <f>D86+G86+H86+I86+F86</f>
        <v>100</v>
      </c>
      <c r="K86" s="15">
        <f t="shared" si="9"/>
        <v>0</v>
      </c>
      <c r="L86" s="57">
        <f>H86</f>
        <v>25</v>
      </c>
      <c r="M86" s="12">
        <f>H86</f>
        <v>25</v>
      </c>
      <c r="N86" s="24">
        <f>0</f>
        <v>0</v>
      </c>
      <c r="O86" s="8">
        <f t="shared" si="5"/>
        <v>388</v>
      </c>
    </row>
    <row r="87" spans="1:15" ht="15.75" thickBot="1">
      <c r="A87" s="9" t="s">
        <v>93</v>
      </c>
      <c r="B87" s="10">
        <v>100</v>
      </c>
      <c r="C87" s="11"/>
      <c r="D87" s="11"/>
      <c r="E87" s="11"/>
      <c r="F87" s="11"/>
      <c r="G87" s="11"/>
      <c r="H87" s="11">
        <f>B87*20%</f>
        <v>20</v>
      </c>
      <c r="I87" s="11"/>
      <c r="J87" s="11">
        <f>H87</f>
        <v>20</v>
      </c>
      <c r="K87" s="11">
        <f t="shared" si="9"/>
        <v>80</v>
      </c>
      <c r="L87" s="57">
        <f>H87+B87*25%*250%</f>
        <v>82.5</v>
      </c>
      <c r="M87" s="12">
        <f>H87</f>
        <v>20</v>
      </c>
      <c r="N87" s="24">
        <f>B87*25%</f>
        <v>25</v>
      </c>
      <c r="O87" s="8">
        <f t="shared" si="5"/>
        <v>255</v>
      </c>
    </row>
    <row r="88" spans="1:15" ht="15.75" thickBot="1">
      <c r="A88" s="9" t="s">
        <v>94</v>
      </c>
      <c r="B88" s="10">
        <v>100</v>
      </c>
      <c r="C88" s="11"/>
      <c r="D88" s="11"/>
      <c r="E88" s="11"/>
      <c r="F88" s="11"/>
      <c r="G88" s="11"/>
      <c r="H88" s="11">
        <f>B88*95%</f>
        <v>95</v>
      </c>
      <c r="I88" s="11"/>
      <c r="J88" s="11">
        <f>C88+D88+E88+F88+H88+I88</f>
        <v>95</v>
      </c>
      <c r="K88" s="11">
        <f t="shared" si="9"/>
        <v>5</v>
      </c>
      <c r="L88" s="57">
        <f>H88*18%*180%</f>
        <v>30.779999999999998</v>
      </c>
      <c r="M88" s="12">
        <f>B88*18%*75%</f>
        <v>13.5</v>
      </c>
      <c r="N88" s="24">
        <f>0</f>
        <v>0</v>
      </c>
      <c r="O88" s="8">
        <f t="shared" si="5"/>
        <v>380</v>
      </c>
    </row>
    <row r="89" spans="1:15" ht="15.75" thickBot="1">
      <c r="A89" s="9" t="s">
        <v>95</v>
      </c>
      <c r="B89" s="10">
        <v>100</v>
      </c>
      <c r="C89" s="11">
        <f>B89*0.3%</f>
        <v>0.3</v>
      </c>
      <c r="D89" s="11">
        <f>B89*0.7%</f>
        <v>0.7</v>
      </c>
      <c r="E89" s="11">
        <f>0</f>
        <v>0</v>
      </c>
      <c r="F89" s="11">
        <f>B89*1%</f>
        <v>1</v>
      </c>
      <c r="G89" s="11">
        <f>0</f>
        <v>0</v>
      </c>
      <c r="H89" s="11">
        <f>B89*10%</f>
        <v>10</v>
      </c>
      <c r="I89" s="11">
        <f>B89*1%</f>
        <v>1</v>
      </c>
      <c r="J89" s="11">
        <f>C89+D89+F89+H89+I89</f>
        <v>13</v>
      </c>
      <c r="K89" s="11">
        <f t="shared" si="9"/>
        <v>87</v>
      </c>
      <c r="L89" s="57">
        <f>H89*50%+H89*50%*190%</f>
        <v>14.5</v>
      </c>
      <c r="M89" s="12">
        <f>H89*50%+H89*50%*140%</f>
        <v>12</v>
      </c>
      <c r="N89" s="24">
        <f>0</f>
        <v>0</v>
      </c>
      <c r="O89" s="8">
        <f t="shared" si="5"/>
        <v>49.5</v>
      </c>
    </row>
    <row r="90" spans="1:15" ht="15.75" thickBot="1">
      <c r="A90" s="9" t="s">
        <v>96</v>
      </c>
      <c r="B90" s="10">
        <v>100</v>
      </c>
      <c r="C90" s="11">
        <f>B90*0.3%</f>
        <v>0.3</v>
      </c>
      <c r="D90" s="11">
        <f>B90*1%</f>
        <v>1</v>
      </c>
      <c r="E90" s="11">
        <f>0</f>
        <v>0</v>
      </c>
      <c r="F90" s="11">
        <f>B90*0.2%</f>
        <v>0.2</v>
      </c>
      <c r="G90" s="11">
        <f>0</f>
        <v>0</v>
      </c>
      <c r="H90" s="11">
        <f>B90*12%</f>
        <v>12</v>
      </c>
      <c r="I90" s="11">
        <f>B90*6.5%</f>
        <v>6.5</v>
      </c>
      <c r="J90" s="11">
        <f>C90+D90+F90+H90+I90</f>
        <v>20</v>
      </c>
      <c r="K90" s="11">
        <f t="shared" si="9"/>
        <v>80</v>
      </c>
      <c r="L90" s="57">
        <f>H90*50%+H90*50%*190%</f>
        <v>17.4</v>
      </c>
      <c r="M90" s="12">
        <f>H90*50%*50%*140%</f>
        <v>4.199999999999999</v>
      </c>
      <c r="N90" s="24">
        <f>0</f>
        <v>0</v>
      </c>
      <c r="O90" s="8">
        <f t="shared" si="5"/>
        <v>80.7</v>
      </c>
    </row>
    <row r="91" spans="1:15" ht="15.75" thickBot="1">
      <c r="A91" s="9" t="s">
        <v>97</v>
      </c>
      <c r="B91" s="10">
        <v>100</v>
      </c>
      <c r="C91" s="11">
        <f>B91*0.1%</f>
        <v>0.1</v>
      </c>
      <c r="D91" s="11">
        <f>B91*0.4%</f>
        <v>0.4</v>
      </c>
      <c r="E91" s="11">
        <f>0</f>
        <v>0</v>
      </c>
      <c r="F91" s="11">
        <f>B91*0.5%</f>
        <v>0.5</v>
      </c>
      <c r="G91" s="11">
        <f>0</f>
        <v>0</v>
      </c>
      <c r="H91" s="11">
        <f>B91*4.5%</f>
        <v>4.5</v>
      </c>
      <c r="I91" s="11">
        <f>B91*5.5%</f>
        <v>5.5</v>
      </c>
      <c r="J91" s="11">
        <f>C91+D91+F91+H91+I91</f>
        <v>11</v>
      </c>
      <c r="K91" s="11">
        <f t="shared" si="9"/>
        <v>89</v>
      </c>
      <c r="L91" s="57">
        <f>H91*50%+H91*50%*190%</f>
        <v>6.5249999999999995</v>
      </c>
      <c r="M91" s="12">
        <f>H91*50%*H91*50%*140%</f>
        <v>7.0874999999999995</v>
      </c>
      <c r="N91" s="24">
        <f>0</f>
        <v>0</v>
      </c>
      <c r="O91" s="8">
        <f t="shared" si="5"/>
        <v>42.5</v>
      </c>
    </row>
    <row r="92" spans="1:15" ht="15.75" thickBot="1">
      <c r="A92" s="9" t="s">
        <v>98</v>
      </c>
      <c r="B92" s="10">
        <v>100</v>
      </c>
      <c r="C92" s="11">
        <f>81%*B92</f>
        <v>81</v>
      </c>
      <c r="D92" s="11">
        <f>C92*1.2%</f>
        <v>0.972</v>
      </c>
      <c r="E92" s="11"/>
      <c r="F92" s="11">
        <f>1.8%*B92</f>
        <v>1.8000000000000003</v>
      </c>
      <c r="G92" s="11"/>
      <c r="H92" s="11"/>
      <c r="I92" s="11"/>
      <c r="J92" s="11">
        <f>C92+D92+E92+F92+H92+I92</f>
        <v>83.77199999999999</v>
      </c>
      <c r="K92" s="11">
        <f t="shared" si="9"/>
        <v>16.22800000000001</v>
      </c>
      <c r="L92" s="57"/>
      <c r="M92" s="12"/>
      <c r="N92" s="24">
        <f>0</f>
        <v>0</v>
      </c>
      <c r="O92" s="8">
        <f t="shared" si="5"/>
        <v>732.888</v>
      </c>
    </row>
    <row r="93" spans="1:15" ht="15.75" thickBot="1">
      <c r="A93" s="9" t="s">
        <v>99</v>
      </c>
      <c r="B93" s="10">
        <v>100</v>
      </c>
      <c r="C93" s="11"/>
      <c r="D93" s="11"/>
      <c r="E93" s="11"/>
      <c r="F93" s="11"/>
      <c r="G93" s="11"/>
      <c r="H93" s="11">
        <f>B93*8%</f>
        <v>8</v>
      </c>
      <c r="I93" s="11"/>
      <c r="J93" s="11">
        <f>H93</f>
        <v>8</v>
      </c>
      <c r="K93" s="11">
        <f t="shared" si="9"/>
        <v>92</v>
      </c>
      <c r="L93" s="57">
        <f>H93+B93*18%*250%</f>
        <v>53</v>
      </c>
      <c r="M93" s="12">
        <f>H93</f>
        <v>8</v>
      </c>
      <c r="N93" s="24">
        <f>0</f>
        <v>0</v>
      </c>
      <c r="O93" s="8">
        <f t="shared" si="5"/>
        <v>32</v>
      </c>
    </row>
    <row r="94" spans="1:15" ht="15.75" thickBot="1">
      <c r="A94" s="9" t="s">
        <v>100</v>
      </c>
      <c r="B94" s="10">
        <v>100</v>
      </c>
      <c r="C94" s="11">
        <f>B94*5.8%</f>
        <v>5.8</v>
      </c>
      <c r="D94" s="11">
        <f>B94*11.2%</f>
        <v>11.2</v>
      </c>
      <c r="E94" s="11"/>
      <c r="F94" s="11"/>
      <c r="G94" s="11"/>
      <c r="H94" s="11">
        <f>B94*55.5%</f>
        <v>55.50000000000001</v>
      </c>
      <c r="I94" s="11"/>
      <c r="J94" s="11">
        <f>H94+D94+C94</f>
        <v>72.5</v>
      </c>
      <c r="K94" s="11">
        <f t="shared" si="9"/>
        <v>27.5</v>
      </c>
      <c r="L94" s="57">
        <f>H94</f>
        <v>55.50000000000001</v>
      </c>
      <c r="M94" s="12">
        <f>H94</f>
        <v>55.50000000000001</v>
      </c>
      <c r="N94" s="24">
        <f>0</f>
        <v>0</v>
      </c>
      <c r="O94" s="8">
        <f t="shared" si="5"/>
        <v>319</v>
      </c>
    </row>
    <row r="95" spans="1:15" ht="15.75" thickBot="1">
      <c r="A95" s="9" t="s">
        <v>101</v>
      </c>
      <c r="B95" s="25">
        <v>100</v>
      </c>
      <c r="C95" s="32">
        <f>B95*47%</f>
        <v>47</v>
      </c>
      <c r="D95" s="32">
        <f>B95*7.6%</f>
        <v>7.6</v>
      </c>
      <c r="E95" s="32">
        <v>0</v>
      </c>
      <c r="F95" s="32">
        <f>B95*1.4%</f>
        <v>1.4</v>
      </c>
      <c r="G95" s="32">
        <f>F95+D95</f>
        <v>9</v>
      </c>
      <c r="H95" s="32">
        <v>0</v>
      </c>
      <c r="I95" s="32">
        <v>0</v>
      </c>
      <c r="J95" s="32">
        <f>C95+D95+E95+F95+H95+I95</f>
        <v>56</v>
      </c>
      <c r="K95" s="32">
        <f t="shared" si="9"/>
        <v>44</v>
      </c>
      <c r="L95" s="56">
        <f>E95</f>
        <v>0</v>
      </c>
      <c r="M95" s="33">
        <f>E95*16%</f>
        <v>0</v>
      </c>
      <c r="N95" s="24">
        <f>0</f>
        <v>0</v>
      </c>
      <c r="O95" s="8">
        <f t="shared" si="5"/>
        <v>453.4</v>
      </c>
    </row>
    <row r="96" spans="1:15" ht="15.75" thickBot="1">
      <c r="A96" s="9" t="s">
        <v>102</v>
      </c>
      <c r="B96" s="10">
        <v>100</v>
      </c>
      <c r="C96" s="11"/>
      <c r="D96" s="11">
        <f>B96*18%</f>
        <v>18</v>
      </c>
      <c r="E96" s="11"/>
      <c r="F96" s="11">
        <f>B96*2%</f>
        <v>2</v>
      </c>
      <c r="G96" s="11"/>
      <c r="H96" s="11"/>
      <c r="I96" s="11">
        <f>B96*79%</f>
        <v>79</v>
      </c>
      <c r="J96" s="11">
        <f>C96+D96+E96+F96+H96+I96</f>
        <v>99</v>
      </c>
      <c r="K96" s="11">
        <f t="shared" si="9"/>
        <v>1</v>
      </c>
      <c r="L96" s="57"/>
      <c r="M96" s="12"/>
      <c r="N96" s="24">
        <f>0</f>
        <v>0</v>
      </c>
      <c r="O96" s="8">
        <f t="shared" si="5"/>
        <v>388</v>
      </c>
    </row>
    <row r="97" spans="1:15" ht="15.75" thickBot="1">
      <c r="A97" s="9" t="s">
        <v>103</v>
      </c>
      <c r="B97" s="10">
        <v>100</v>
      </c>
      <c r="C97" s="11">
        <f>B97*0.3%</f>
        <v>0.3</v>
      </c>
      <c r="D97" s="11">
        <f>B97*0.3%</f>
        <v>0.3</v>
      </c>
      <c r="E97" s="11">
        <f>0</f>
        <v>0</v>
      </c>
      <c r="F97" s="11">
        <f>B97*0.4%</f>
        <v>0.4</v>
      </c>
      <c r="G97" s="11">
        <f>0</f>
        <v>0</v>
      </c>
      <c r="H97" s="11">
        <f>B97*11%</f>
        <v>11</v>
      </c>
      <c r="I97" s="11">
        <f>B97*4%</f>
        <v>4</v>
      </c>
      <c r="J97" s="11">
        <f>C97+D97+F97+H97+I97</f>
        <v>16</v>
      </c>
      <c r="K97" s="11">
        <f t="shared" si="9"/>
        <v>84</v>
      </c>
      <c r="L97" s="57">
        <f>H97*50%+H97*50%*190%</f>
        <v>15.95</v>
      </c>
      <c r="M97" s="12">
        <f>H97*50%+H97*50%*140%</f>
        <v>13.2</v>
      </c>
      <c r="N97" s="24">
        <f>0</f>
        <v>0</v>
      </c>
      <c r="O97" s="8">
        <f t="shared" si="5"/>
        <v>63.9</v>
      </c>
    </row>
    <row r="98" spans="1:15" ht="15.75" thickBot="1">
      <c r="A98" s="9" t="s">
        <v>104</v>
      </c>
      <c r="B98" s="10">
        <v>100</v>
      </c>
      <c r="C98" s="11">
        <f>B98*0.2%</f>
        <v>0.2</v>
      </c>
      <c r="D98" s="11">
        <f>B98*0.5%</f>
        <v>0.5</v>
      </c>
      <c r="E98" s="11">
        <f>0</f>
        <v>0</v>
      </c>
      <c r="F98" s="11">
        <f>B98*0.3%</f>
        <v>0.3</v>
      </c>
      <c r="G98" s="11">
        <f>0</f>
        <v>0</v>
      </c>
      <c r="H98" s="11">
        <f>B98*12%</f>
        <v>12</v>
      </c>
      <c r="I98" s="11">
        <f>B98*5%</f>
        <v>5</v>
      </c>
      <c r="J98" s="11">
        <f>C98+D98+F98+H98+I98</f>
        <v>18</v>
      </c>
      <c r="K98" s="11">
        <f t="shared" si="9"/>
        <v>82</v>
      </c>
      <c r="L98" s="57">
        <f>H98*50%+H98*50%*190%</f>
        <v>17.4</v>
      </c>
      <c r="M98" s="12">
        <f>H98*50%+H98*50%*140%</f>
        <v>14.399999999999999</v>
      </c>
      <c r="N98" s="24">
        <f>0</f>
        <v>0</v>
      </c>
      <c r="O98" s="8">
        <f t="shared" si="5"/>
        <v>71.8</v>
      </c>
    </row>
    <row r="99" spans="1:15" ht="15.75" thickBot="1">
      <c r="A99" s="9" t="s">
        <v>105</v>
      </c>
      <c r="B99" s="10">
        <v>100</v>
      </c>
      <c r="C99" s="11">
        <f>B99*0.1%</f>
        <v>0.1</v>
      </c>
      <c r="D99" s="11">
        <f>B99*0.6%</f>
        <v>0.6</v>
      </c>
      <c r="E99" s="11">
        <f>0</f>
        <v>0</v>
      </c>
      <c r="F99" s="11">
        <f>B98*0.3%</f>
        <v>0.3</v>
      </c>
      <c r="G99" s="11">
        <f>0</f>
        <v>0</v>
      </c>
      <c r="H99" s="11">
        <f>B99*7.5%</f>
        <v>7.5</v>
      </c>
      <c r="I99" s="11">
        <f>B99*2.5%</f>
        <v>2.5</v>
      </c>
      <c r="J99" s="11">
        <f>C99+D99+F99+H99+I99</f>
        <v>11</v>
      </c>
      <c r="K99" s="11">
        <f t="shared" si="9"/>
        <v>89</v>
      </c>
      <c r="L99" s="57">
        <f>H99*50%+H99*50%*190%</f>
        <v>10.875</v>
      </c>
      <c r="M99" s="12">
        <f>H99*50%+H99*50%*140%</f>
        <v>9</v>
      </c>
      <c r="N99" s="24">
        <f>0</f>
        <v>0</v>
      </c>
      <c r="O99" s="8">
        <f t="shared" si="5"/>
        <v>43.3</v>
      </c>
    </row>
    <row r="100" spans="1:15" ht="15.75" thickBot="1">
      <c r="A100" s="9" t="s">
        <v>106</v>
      </c>
      <c r="B100" s="10">
        <v>100</v>
      </c>
      <c r="C100" s="11"/>
      <c r="D100" s="11"/>
      <c r="E100" s="11"/>
      <c r="F100" s="11"/>
      <c r="G100" s="11"/>
      <c r="H100" s="11">
        <f>80%*B100</f>
        <v>80</v>
      </c>
      <c r="I100" s="11"/>
      <c r="J100" s="11">
        <f>C100+D100+E100+F100+H100+I100</f>
        <v>80</v>
      </c>
      <c r="K100" s="11">
        <f t="shared" si="9"/>
        <v>20</v>
      </c>
      <c r="L100" s="57">
        <f>H100*190%</f>
        <v>152</v>
      </c>
      <c r="M100" s="12">
        <f>B100*130%</f>
        <v>130</v>
      </c>
      <c r="N100" s="24">
        <f>0</f>
        <v>0</v>
      </c>
      <c r="O100" s="8">
        <f t="shared" si="5"/>
        <v>320</v>
      </c>
    </row>
    <row r="101" spans="1:15" ht="15.75" thickBot="1">
      <c r="A101" s="9" t="s">
        <v>107</v>
      </c>
      <c r="B101" s="10">
        <v>100</v>
      </c>
      <c r="C101" s="11">
        <f>B101*1.5%</f>
        <v>1.5</v>
      </c>
      <c r="D101" s="11">
        <f>B101*20%</f>
        <v>20</v>
      </c>
      <c r="E101" s="11">
        <f>B101*60%</f>
        <v>60</v>
      </c>
      <c r="F101" s="11">
        <f>B101*8.5%</f>
        <v>8.5</v>
      </c>
      <c r="G101" s="11">
        <f>D101+E101+F101</f>
        <v>88.5</v>
      </c>
      <c r="H101" s="11">
        <f>B101*5%</f>
        <v>5</v>
      </c>
      <c r="I101" s="11">
        <f>B101*1.5%</f>
        <v>1.5</v>
      </c>
      <c r="J101" s="11">
        <f>I101+H101+G101+C101</f>
        <v>96.5</v>
      </c>
      <c r="K101" s="11">
        <f t="shared" si="9"/>
        <v>3.5</v>
      </c>
      <c r="L101" s="57">
        <f>E101+H101</f>
        <v>65</v>
      </c>
      <c r="M101" s="12">
        <f>H101+E101*16%</f>
        <v>14.6</v>
      </c>
      <c r="N101" s="24">
        <f>0</f>
        <v>0</v>
      </c>
      <c r="O101" s="8">
        <f t="shared" si="5"/>
        <v>359.5</v>
      </c>
    </row>
    <row r="102" spans="1:15" ht="15.75" thickBot="1">
      <c r="A102" s="9" t="s">
        <v>108</v>
      </c>
      <c r="B102" s="10">
        <v>100</v>
      </c>
      <c r="C102" s="11">
        <f>B102*0.5%</f>
        <v>0.5</v>
      </c>
      <c r="D102" s="11">
        <f>B102*0.6%</f>
        <v>0.6</v>
      </c>
      <c r="E102" s="11">
        <f>0</f>
        <v>0</v>
      </c>
      <c r="F102" s="11">
        <f>B102*0.4%</f>
        <v>0.4</v>
      </c>
      <c r="G102" s="11">
        <f>0</f>
        <v>0</v>
      </c>
      <c r="H102" s="11">
        <f>B102*13%</f>
        <v>13</v>
      </c>
      <c r="I102" s="11">
        <f>B102*1.5%</f>
        <v>1.5</v>
      </c>
      <c r="J102" s="11">
        <f>C102+D102+F102+H102+I102</f>
        <v>16</v>
      </c>
      <c r="K102" s="11">
        <f t="shared" si="9"/>
        <v>84</v>
      </c>
      <c r="L102" s="57">
        <f>H102*50%+H102*50%*190%</f>
        <v>18.85</v>
      </c>
      <c r="M102" s="12">
        <f>H102*50%+H102*50%*140%</f>
        <v>15.6</v>
      </c>
      <c r="N102" s="24">
        <f>0</f>
        <v>0</v>
      </c>
      <c r="O102" s="8">
        <f t="shared" si="5"/>
        <v>64.9</v>
      </c>
    </row>
    <row r="103" spans="1:15" ht="15.75" thickBot="1">
      <c r="A103" s="9" t="s">
        <v>109</v>
      </c>
      <c r="B103" s="10">
        <v>100</v>
      </c>
      <c r="C103" s="11"/>
      <c r="D103" s="11">
        <f>B103*1.3%</f>
        <v>1.3</v>
      </c>
      <c r="E103" s="11">
        <f>0</f>
        <v>0</v>
      </c>
      <c r="F103" s="11">
        <f>B103*0.2%</f>
        <v>0.2</v>
      </c>
      <c r="G103" s="11">
        <f>0</f>
        <v>0</v>
      </c>
      <c r="H103" s="11">
        <f>B103*8%</f>
        <v>8</v>
      </c>
      <c r="I103" s="11">
        <f>B103*5.5%</f>
        <v>5.5</v>
      </c>
      <c r="J103" s="11">
        <f>C103+D103+F103+H103+I103</f>
        <v>15</v>
      </c>
      <c r="K103" s="11">
        <f t="shared" si="9"/>
        <v>85</v>
      </c>
      <c r="L103" s="57">
        <f>H103*50%+H103*50%*190%</f>
        <v>11.6</v>
      </c>
      <c r="M103" s="12">
        <f>H103*50%+H103*50%*140%</f>
        <v>9.6</v>
      </c>
      <c r="N103" s="24">
        <f>0</f>
        <v>0</v>
      </c>
      <c r="O103" s="8">
        <f t="shared" si="5"/>
        <v>59.2</v>
      </c>
    </row>
    <row r="104" spans="1:15" ht="15.75" thickBot="1">
      <c r="A104" s="9" t="s">
        <v>110</v>
      </c>
      <c r="B104" s="10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>B104*100%</f>
        <v>100</v>
      </c>
      <c r="J104" s="11">
        <f>C104+D104+E104+F104+H104+I104</f>
        <v>100</v>
      </c>
      <c r="K104" s="11">
        <f t="shared" si="9"/>
        <v>0</v>
      </c>
      <c r="L104" s="57">
        <v>0</v>
      </c>
      <c r="M104" s="12">
        <v>0</v>
      </c>
      <c r="N104" s="24">
        <f>0</f>
        <v>0</v>
      </c>
      <c r="O104" s="8">
        <f t="shared" si="5"/>
        <v>400</v>
      </c>
    </row>
    <row r="105" spans="1:15" ht="15.75" thickBot="1">
      <c r="A105" s="9" t="s">
        <v>111</v>
      </c>
      <c r="B105" s="10">
        <v>100</v>
      </c>
      <c r="C105" s="11">
        <f>B105</f>
        <v>100</v>
      </c>
      <c r="D105" s="11"/>
      <c r="E105" s="11"/>
      <c r="F105" s="11"/>
      <c r="G105" s="11"/>
      <c r="H105" s="11"/>
      <c r="I105" s="11"/>
      <c r="J105" s="11">
        <f>C105</f>
        <v>100</v>
      </c>
      <c r="K105" s="11">
        <f t="shared" si="9"/>
        <v>0</v>
      </c>
      <c r="L105" s="57">
        <f>0</f>
        <v>0</v>
      </c>
      <c r="M105" s="12">
        <f>0</f>
        <v>0</v>
      </c>
      <c r="N105" s="24">
        <f>0</f>
        <v>0</v>
      </c>
      <c r="O105" s="8">
        <f t="shared" si="5"/>
        <v>900</v>
      </c>
    </row>
    <row r="106" spans="1:15" ht="15.75" thickBot="1">
      <c r="A106" s="9" t="s">
        <v>112</v>
      </c>
      <c r="B106" s="10">
        <v>100</v>
      </c>
      <c r="C106" s="11">
        <v>0</v>
      </c>
      <c r="D106" s="11">
        <f>B106*80%</f>
        <v>80</v>
      </c>
      <c r="E106" s="11">
        <f>0</f>
        <v>0</v>
      </c>
      <c r="F106" s="11">
        <f>0</f>
        <v>0</v>
      </c>
      <c r="G106" s="11">
        <f>D106</f>
        <v>80</v>
      </c>
      <c r="H106" s="11">
        <f>B106*4%</f>
        <v>4</v>
      </c>
      <c r="I106" s="11">
        <f>B106*11%</f>
        <v>11</v>
      </c>
      <c r="J106" s="11">
        <f>D106+H106+I106</f>
        <v>95</v>
      </c>
      <c r="K106" s="11">
        <f t="shared" si="9"/>
        <v>5</v>
      </c>
      <c r="L106" s="57">
        <f>H106*18%*180%</f>
        <v>1.296</v>
      </c>
      <c r="M106" s="12">
        <f>H106*75%*18%</f>
        <v>0.54</v>
      </c>
      <c r="N106" s="24">
        <f>0</f>
        <v>0</v>
      </c>
      <c r="O106" s="8">
        <f t="shared" si="5"/>
        <v>380</v>
      </c>
    </row>
    <row r="107" spans="1:15" ht="15.75" thickBot="1">
      <c r="A107" s="9" t="s">
        <v>113</v>
      </c>
      <c r="B107" s="10">
        <v>100</v>
      </c>
      <c r="C107" s="11">
        <f>35%*B107</f>
        <v>35</v>
      </c>
      <c r="D107" s="11">
        <f>2.3%*B107</f>
        <v>2.3</v>
      </c>
      <c r="E107" s="11">
        <f>B107*3.4%</f>
        <v>3.4000000000000004</v>
      </c>
      <c r="F107" s="11">
        <f>B107*0.3%</f>
        <v>0.3</v>
      </c>
      <c r="G107" s="11">
        <f>D107+E107+F107</f>
        <v>6</v>
      </c>
      <c r="H107" s="11">
        <v>0</v>
      </c>
      <c r="I107" s="11">
        <v>0</v>
      </c>
      <c r="J107" s="11">
        <f>C107+D107+E107+F107+H107+I107</f>
        <v>40.99999999999999</v>
      </c>
      <c r="K107" s="11">
        <f t="shared" si="9"/>
        <v>59.00000000000001</v>
      </c>
      <c r="L107" s="57">
        <f>E107</f>
        <v>3.4000000000000004</v>
      </c>
      <c r="M107" s="12">
        <f>E107*16%</f>
        <v>0.544</v>
      </c>
      <c r="N107" s="24">
        <f>0</f>
        <v>0</v>
      </c>
      <c r="O107" s="8">
        <f t="shared" si="5"/>
        <v>337.8</v>
      </c>
    </row>
    <row r="108" spans="1:15" ht="15.75" thickBot="1">
      <c r="A108" s="9" t="s">
        <v>114</v>
      </c>
      <c r="B108" s="10">
        <v>100</v>
      </c>
      <c r="C108" s="11">
        <f>B108*0.1%</f>
        <v>0.1</v>
      </c>
      <c r="D108" s="11">
        <f>B108*0.5%</f>
        <v>0.5</v>
      </c>
      <c r="E108" s="11">
        <f>0</f>
        <v>0</v>
      </c>
      <c r="F108" s="11">
        <f>B108*0.4%</f>
        <v>0.4</v>
      </c>
      <c r="G108" s="11">
        <f>0</f>
        <v>0</v>
      </c>
      <c r="H108" s="11">
        <f>B108*11%</f>
        <v>11</v>
      </c>
      <c r="I108" s="11">
        <f>B108*1%</f>
        <v>1</v>
      </c>
      <c r="J108" s="11">
        <f>C108+D108+F108+H108+I108</f>
        <v>13</v>
      </c>
      <c r="K108" s="11">
        <f t="shared" si="9"/>
        <v>87</v>
      </c>
      <c r="L108" s="57">
        <f>H108*50%+H108*50%*190%</f>
        <v>15.95</v>
      </c>
      <c r="M108" s="12">
        <f>H108*50%+H108*50%*140%</f>
        <v>13.2</v>
      </c>
      <c r="N108" s="24">
        <f>0</f>
        <v>0</v>
      </c>
      <c r="O108" s="8">
        <f t="shared" si="5"/>
        <v>50.9</v>
      </c>
    </row>
    <row r="109" spans="1:15" ht="15.75" thickBot="1">
      <c r="A109" s="31" t="s">
        <v>115</v>
      </c>
      <c r="B109" s="18">
        <v>100</v>
      </c>
      <c r="C109" s="19">
        <f>B109*26%</f>
        <v>26</v>
      </c>
      <c r="D109" s="19">
        <f>B109*36%</f>
        <v>36</v>
      </c>
      <c r="E109" s="19"/>
      <c r="F109" s="19">
        <f>B109*9%</f>
        <v>9</v>
      </c>
      <c r="G109" s="19"/>
      <c r="H109" s="19"/>
      <c r="I109" s="19"/>
      <c r="J109" s="19">
        <f>D109+C109+F109</f>
        <v>71</v>
      </c>
      <c r="K109" s="19">
        <f t="shared" si="9"/>
        <v>29</v>
      </c>
      <c r="L109" s="55"/>
      <c r="M109" s="20"/>
      <c r="N109" s="24">
        <f>0</f>
        <v>0</v>
      </c>
      <c r="O109" s="8">
        <f t="shared" si="5"/>
        <v>378</v>
      </c>
    </row>
    <row r="110" spans="1:15" ht="15.75" thickBot="1">
      <c r="A110" s="34" t="s">
        <v>116</v>
      </c>
      <c r="B110" s="22">
        <v>100</v>
      </c>
      <c r="C110" s="11"/>
      <c r="D110" s="11"/>
      <c r="E110" s="11"/>
      <c r="F110" s="11"/>
      <c r="G110" s="11"/>
      <c r="H110" s="11">
        <f>B110*60%</f>
        <v>60</v>
      </c>
      <c r="I110" s="11">
        <f>B110*9%</f>
        <v>9</v>
      </c>
      <c r="J110" s="11">
        <f>C110+D110+E110+F110+H110+I110</f>
        <v>69</v>
      </c>
      <c r="K110" s="11">
        <f t="shared" si="9"/>
        <v>31</v>
      </c>
      <c r="L110" s="57">
        <f>B110*68.5%+B110*29%*180%*46%+B110*2.5%*190%</f>
        <v>97.262</v>
      </c>
      <c r="M110" s="23">
        <f>B110*68.5%+B110*29%*46%*75%+B110*2.5%*140%</f>
        <v>82.005</v>
      </c>
      <c r="N110" s="24">
        <f>0</f>
        <v>0</v>
      </c>
      <c r="O110" s="8">
        <f t="shared" si="5"/>
        <v>276</v>
      </c>
    </row>
    <row r="111" spans="1:15" ht="15.75" thickBot="1">
      <c r="A111" s="21" t="s">
        <v>117</v>
      </c>
      <c r="B111" s="25">
        <v>100</v>
      </c>
      <c r="C111" s="26">
        <f>B111*25%</f>
        <v>25</v>
      </c>
      <c r="D111" s="26"/>
      <c r="E111" s="26"/>
      <c r="F111" s="26"/>
      <c r="G111" s="26"/>
      <c r="H111" s="26">
        <f>B111*19%</f>
        <v>19</v>
      </c>
      <c r="I111" s="26">
        <f>B111*56%</f>
        <v>56.00000000000001</v>
      </c>
      <c r="J111" s="26">
        <f>C111+H111+I111</f>
        <v>100</v>
      </c>
      <c r="K111" s="26">
        <f t="shared" si="9"/>
        <v>0</v>
      </c>
      <c r="L111" s="56">
        <f>H111+E111</f>
        <v>19</v>
      </c>
      <c r="M111" s="27">
        <f>H111+E111</f>
        <v>19</v>
      </c>
      <c r="N111" s="24">
        <f>0</f>
        <v>0</v>
      </c>
      <c r="O111" s="8">
        <f t="shared" si="5"/>
        <v>525</v>
      </c>
    </row>
    <row r="112" spans="1:15" ht="15.75" thickBot="1">
      <c r="A112" s="34" t="s">
        <v>118</v>
      </c>
      <c r="B112" s="10">
        <v>100</v>
      </c>
      <c r="C112" s="11">
        <f>B112*33%</f>
        <v>33</v>
      </c>
      <c r="D112" s="11">
        <f>B112*5.2%</f>
        <v>5.2</v>
      </c>
      <c r="E112" s="11"/>
      <c r="F112" s="11"/>
      <c r="G112" s="11"/>
      <c r="H112" s="11">
        <f>B112*54%</f>
        <v>54</v>
      </c>
      <c r="I112" s="11">
        <f>B112*1%</f>
        <v>1</v>
      </c>
      <c r="J112" s="11">
        <f>C112+D112+E112+F112+H112+I112</f>
        <v>93.2</v>
      </c>
      <c r="K112" s="11">
        <f t="shared" si="9"/>
        <v>6.799999999999997</v>
      </c>
      <c r="L112" s="57">
        <f>H112</f>
        <v>54</v>
      </c>
      <c r="M112" s="12">
        <f>H112</f>
        <v>54</v>
      </c>
      <c r="N112" s="24">
        <f>0</f>
        <v>0</v>
      </c>
      <c r="O112" s="8">
        <f t="shared" si="5"/>
        <v>537.8</v>
      </c>
    </row>
    <row r="113" spans="1:15" ht="15.75" thickBot="1">
      <c r="A113" s="34" t="s">
        <v>119</v>
      </c>
      <c r="B113" s="10">
        <v>100</v>
      </c>
      <c r="C113" s="11"/>
      <c r="D113" s="11"/>
      <c r="E113" s="11"/>
      <c r="F113" s="11"/>
      <c r="G113" s="11"/>
      <c r="H113" s="11">
        <f>B113*60%</f>
        <v>60</v>
      </c>
      <c r="I113" s="11">
        <f>B113*9%</f>
        <v>9</v>
      </c>
      <c r="J113" s="11">
        <f>C113+D113+E113+F113+H113+I113</f>
        <v>69</v>
      </c>
      <c r="K113" s="11">
        <f t="shared" si="9"/>
        <v>31</v>
      </c>
      <c r="L113" s="57">
        <f>B113*68.5%+B113*29%*180%*46%+B113*2.5%*190%</f>
        <v>97.262</v>
      </c>
      <c r="M113" s="12">
        <f>B113*68.5%+B113*29%*46%*75%+B113*2.5%*140%</f>
        <v>82.005</v>
      </c>
      <c r="N113" s="24">
        <f>0</f>
        <v>0</v>
      </c>
      <c r="O113" s="8">
        <f t="shared" si="5"/>
        <v>276</v>
      </c>
    </row>
    <row r="114" spans="1:15" ht="15.75" thickBot="1">
      <c r="A114" s="9" t="s">
        <v>120</v>
      </c>
      <c r="B114" s="10">
        <v>100</v>
      </c>
      <c r="C114" s="11">
        <f>B114*7.6%</f>
        <v>7.6</v>
      </c>
      <c r="D114" s="11">
        <f>B114*5.6%</f>
        <v>5.6</v>
      </c>
      <c r="E114" s="11"/>
      <c r="F114" s="11"/>
      <c r="G114" s="11"/>
      <c r="H114" s="11">
        <f>B114*35.5%</f>
        <v>35.5</v>
      </c>
      <c r="I114" s="11">
        <f>B114*2%</f>
        <v>2</v>
      </c>
      <c r="J114" s="11">
        <f>I114+H114+D114+C114</f>
        <v>50.7</v>
      </c>
      <c r="K114" s="11">
        <f t="shared" si="9"/>
        <v>49.3</v>
      </c>
      <c r="L114" s="57">
        <f>B114*48.9%</f>
        <v>48.9</v>
      </c>
      <c r="M114" s="12">
        <f>B114*40.3%</f>
        <v>40.3</v>
      </c>
      <c r="N114" s="24">
        <f>0</f>
        <v>0</v>
      </c>
      <c r="O114" s="8">
        <f t="shared" si="5"/>
        <v>240.79999999999998</v>
      </c>
    </row>
    <row r="115" spans="1:15" ht="15.75" thickBot="1">
      <c r="A115" s="9" t="s">
        <v>121</v>
      </c>
      <c r="B115" s="10">
        <v>100</v>
      </c>
      <c r="C115" s="11">
        <f>B115*45%</f>
        <v>45</v>
      </c>
      <c r="D115" s="11">
        <f>B115*4.5%</f>
        <v>4.5</v>
      </c>
      <c r="E115" s="11"/>
      <c r="F115" s="11"/>
      <c r="G115" s="11"/>
      <c r="H115" s="11">
        <f>B115*47%</f>
        <v>47</v>
      </c>
      <c r="I115" s="11"/>
      <c r="J115" s="11">
        <f>C115+D115+H115+I115</f>
        <v>96.5</v>
      </c>
      <c r="K115" s="11">
        <f t="shared" si="9"/>
        <v>3.5</v>
      </c>
      <c r="L115" s="57">
        <f>H115</f>
        <v>47</v>
      </c>
      <c r="M115" s="12">
        <f aca="true" t="shared" si="10" ref="M115:M123">H115+E115</f>
        <v>47</v>
      </c>
      <c r="N115" s="24">
        <f>0</f>
        <v>0</v>
      </c>
      <c r="O115" s="8">
        <f t="shared" si="5"/>
        <v>611</v>
      </c>
    </row>
    <row r="116" spans="1:15" ht="15.75" thickBot="1">
      <c r="A116" s="9" t="s">
        <v>122</v>
      </c>
      <c r="B116" s="10">
        <v>100</v>
      </c>
      <c r="C116" s="11">
        <f>B116*31%</f>
        <v>31</v>
      </c>
      <c r="D116" s="11">
        <f>B116*8%</f>
        <v>8</v>
      </c>
      <c r="E116" s="11"/>
      <c r="F116" s="11"/>
      <c r="G116" s="11"/>
      <c r="H116" s="11">
        <f>B116*24.5%</f>
        <v>24.5</v>
      </c>
      <c r="I116" s="11">
        <f>B116*35.5%</f>
        <v>35.5</v>
      </c>
      <c r="J116" s="11">
        <f>C116+D116+H116+I116+0</f>
        <v>99</v>
      </c>
      <c r="K116" s="11">
        <f t="shared" si="9"/>
        <v>1</v>
      </c>
      <c r="L116" s="57">
        <f>H116</f>
        <v>24.5</v>
      </c>
      <c r="M116" s="12">
        <f t="shared" si="10"/>
        <v>24.5</v>
      </c>
      <c r="N116" s="24">
        <f>0</f>
        <v>0</v>
      </c>
      <c r="O116" s="8">
        <f t="shared" si="5"/>
        <v>551</v>
      </c>
    </row>
    <row r="117" spans="1:15" ht="15.75" thickBot="1">
      <c r="A117" s="9" t="s">
        <v>123</v>
      </c>
      <c r="B117" s="10">
        <v>100</v>
      </c>
      <c r="C117" s="11">
        <f>B117*28.51%</f>
        <v>28.51</v>
      </c>
      <c r="D117" s="11">
        <f>B117*0.14%</f>
        <v>0.14</v>
      </c>
      <c r="E117" s="11"/>
      <c r="F117" s="11"/>
      <c r="G117" s="11"/>
      <c r="H117" s="11">
        <f>B117*27%</f>
        <v>27</v>
      </c>
      <c r="I117" s="11">
        <f>B117*43%</f>
        <v>43</v>
      </c>
      <c r="J117" s="11">
        <f>C117+D117+H117+I117+0</f>
        <v>98.65</v>
      </c>
      <c r="K117" s="11">
        <f t="shared" si="9"/>
        <v>1.3499999999999943</v>
      </c>
      <c r="L117" s="57">
        <f>H117</f>
        <v>27</v>
      </c>
      <c r="M117" s="12">
        <f t="shared" si="10"/>
        <v>27</v>
      </c>
      <c r="N117" s="24">
        <f>0</f>
        <v>0</v>
      </c>
      <c r="O117" s="8">
        <f t="shared" si="5"/>
        <v>537.1500000000001</v>
      </c>
    </row>
    <row r="118" spans="1:15" ht="15.75" thickBot="1">
      <c r="A118" s="9" t="s">
        <v>124</v>
      </c>
      <c r="B118" s="10">
        <v>100</v>
      </c>
      <c r="C118" s="11">
        <f>B118*46%</f>
        <v>46</v>
      </c>
      <c r="D118" s="11">
        <f>B118*5%</f>
        <v>5</v>
      </c>
      <c r="E118" s="11"/>
      <c r="F118" s="11"/>
      <c r="G118" s="11"/>
      <c r="H118" s="11">
        <f>B118*36%</f>
        <v>36</v>
      </c>
      <c r="I118" s="11">
        <f>B118*12%</f>
        <v>12</v>
      </c>
      <c r="J118" s="11">
        <f>C118+H118+I118+D118</f>
        <v>99</v>
      </c>
      <c r="K118" s="11">
        <f t="shared" si="9"/>
        <v>1</v>
      </c>
      <c r="L118" s="57">
        <f aca="true" t="shared" si="11" ref="L118:L123">H118+E118</f>
        <v>36</v>
      </c>
      <c r="M118" s="12">
        <f t="shared" si="10"/>
        <v>36</v>
      </c>
      <c r="N118" s="24">
        <f>0</f>
        <v>0</v>
      </c>
      <c r="O118" s="8">
        <f t="shared" si="5"/>
        <v>626</v>
      </c>
    </row>
    <row r="119" spans="1:15" ht="15.75" thickBot="1">
      <c r="A119" s="9" t="s">
        <v>125</v>
      </c>
      <c r="B119" s="10">
        <v>100</v>
      </c>
      <c r="C119" s="11">
        <f>B119*44%</f>
        <v>44</v>
      </c>
      <c r="D119" s="11">
        <f>B119*2%</f>
        <v>2</v>
      </c>
      <c r="E119" s="11"/>
      <c r="F119" s="11"/>
      <c r="G119" s="11"/>
      <c r="H119" s="11">
        <f>B119*44%</f>
        <v>44</v>
      </c>
      <c r="I119" s="11">
        <f>B119*9%</f>
        <v>9</v>
      </c>
      <c r="J119" s="11">
        <f>C119+H119+I119+D119</f>
        <v>99</v>
      </c>
      <c r="K119" s="11">
        <f t="shared" si="9"/>
        <v>1</v>
      </c>
      <c r="L119" s="57">
        <f t="shared" si="11"/>
        <v>44</v>
      </c>
      <c r="M119" s="12">
        <f t="shared" si="10"/>
        <v>44</v>
      </c>
      <c r="N119" s="24">
        <f>0</f>
        <v>0</v>
      </c>
      <c r="O119" s="8">
        <f t="shared" si="5"/>
        <v>616</v>
      </c>
    </row>
    <row r="120" spans="1:15" ht="15.75" thickBot="1">
      <c r="A120" s="9" t="s">
        <v>126</v>
      </c>
      <c r="B120" s="10">
        <v>100</v>
      </c>
      <c r="C120" s="11">
        <v>0</v>
      </c>
      <c r="D120" s="11"/>
      <c r="E120" s="11"/>
      <c r="F120" s="11"/>
      <c r="G120" s="11"/>
      <c r="H120" s="11">
        <f>B120*66%</f>
        <v>66</v>
      </c>
      <c r="I120" s="11">
        <f>B120*3%</f>
        <v>3</v>
      </c>
      <c r="J120" s="11">
        <f>C120+H120+I120+D120</f>
        <v>69</v>
      </c>
      <c r="K120" s="11">
        <f t="shared" si="9"/>
        <v>31</v>
      </c>
      <c r="L120" s="57">
        <f t="shared" si="11"/>
        <v>66</v>
      </c>
      <c r="M120" s="12">
        <f t="shared" si="10"/>
        <v>66</v>
      </c>
      <c r="N120" s="24">
        <f>0</f>
        <v>0</v>
      </c>
      <c r="O120" s="8">
        <f t="shared" si="5"/>
        <v>276</v>
      </c>
    </row>
    <row r="121" spans="1:15" ht="15.75" thickBot="1">
      <c r="A121" s="9" t="s">
        <v>127</v>
      </c>
      <c r="B121" s="10">
        <v>100</v>
      </c>
      <c r="C121" s="11">
        <v>0</v>
      </c>
      <c r="D121" s="11"/>
      <c r="E121" s="11"/>
      <c r="F121" s="11"/>
      <c r="G121" s="11"/>
      <c r="H121" s="11">
        <f>B121*26.5%</f>
        <v>26.5</v>
      </c>
      <c r="I121" s="11">
        <f>B121*0.5%</f>
        <v>0.5</v>
      </c>
      <c r="J121" s="11">
        <f>B121*68%</f>
        <v>68</v>
      </c>
      <c r="K121" s="11">
        <f t="shared" si="9"/>
        <v>32</v>
      </c>
      <c r="L121" s="57">
        <f t="shared" si="11"/>
        <v>26.5</v>
      </c>
      <c r="M121" s="12">
        <f t="shared" si="10"/>
        <v>26.5</v>
      </c>
      <c r="N121" s="24">
        <f>0</f>
        <v>0</v>
      </c>
      <c r="O121" s="8">
        <f t="shared" si="5"/>
        <v>108</v>
      </c>
    </row>
    <row r="122" spans="1:15" ht="15.75" thickBot="1">
      <c r="A122" s="9" t="s">
        <v>128</v>
      </c>
      <c r="B122" s="10">
        <v>100</v>
      </c>
      <c r="C122" s="11">
        <f>B122*42%</f>
        <v>42</v>
      </c>
      <c r="D122" s="11">
        <f>B122*9%</f>
        <v>9</v>
      </c>
      <c r="E122" s="11"/>
      <c r="F122" s="11"/>
      <c r="G122" s="11"/>
      <c r="H122" s="11">
        <f>B122*46%</f>
        <v>46</v>
      </c>
      <c r="I122" s="11">
        <f>B122*1.7%</f>
        <v>1.7000000000000002</v>
      </c>
      <c r="J122" s="11">
        <f>C122+H122+I122+D122</f>
        <v>98.7</v>
      </c>
      <c r="K122" s="11">
        <f t="shared" si="9"/>
        <v>1.2999999999999972</v>
      </c>
      <c r="L122" s="57">
        <f t="shared" si="11"/>
        <v>46</v>
      </c>
      <c r="M122" s="12">
        <f t="shared" si="10"/>
        <v>46</v>
      </c>
      <c r="N122" s="24">
        <f>0</f>
        <v>0</v>
      </c>
      <c r="O122" s="8">
        <f t="shared" si="5"/>
        <v>604.8</v>
      </c>
    </row>
    <row r="123" spans="1:15" ht="15.75" thickBot="1">
      <c r="A123" s="9" t="s">
        <v>129</v>
      </c>
      <c r="B123" s="10">
        <v>100</v>
      </c>
      <c r="C123" s="11">
        <f>B123*35%</f>
        <v>35</v>
      </c>
      <c r="D123" s="11">
        <f>B123*0.3%</f>
        <v>0.3</v>
      </c>
      <c r="E123" s="11"/>
      <c r="F123" s="11"/>
      <c r="G123" s="11"/>
      <c r="H123" s="11">
        <f>B123*29%</f>
        <v>28.999999999999996</v>
      </c>
      <c r="I123" s="11">
        <f>B123*34.7%</f>
        <v>34.7</v>
      </c>
      <c r="J123" s="11">
        <f>C123+D123+H123+I123</f>
        <v>99</v>
      </c>
      <c r="K123" s="11">
        <f t="shared" si="9"/>
        <v>1</v>
      </c>
      <c r="L123" s="57">
        <f t="shared" si="11"/>
        <v>28.999999999999996</v>
      </c>
      <c r="M123" s="12">
        <f t="shared" si="10"/>
        <v>28.999999999999996</v>
      </c>
      <c r="N123" s="24">
        <f>0</f>
        <v>0</v>
      </c>
      <c r="O123" s="8">
        <f t="shared" si="5"/>
        <v>571</v>
      </c>
    </row>
    <row r="124" spans="1:15" ht="15.75" thickBot="1">
      <c r="A124" s="9" t="s">
        <v>130</v>
      </c>
      <c r="B124" s="10">
        <v>100</v>
      </c>
      <c r="C124" s="11">
        <f>B124*16%</f>
        <v>16</v>
      </c>
      <c r="D124" s="11">
        <f>B124*2%</f>
        <v>2</v>
      </c>
      <c r="E124" s="11"/>
      <c r="F124" s="29"/>
      <c r="G124" s="11"/>
      <c r="H124" s="11">
        <f>B124*62%</f>
        <v>62</v>
      </c>
      <c r="I124" s="11">
        <f>B124*10%</f>
        <v>10</v>
      </c>
      <c r="J124" s="15">
        <f>C124+G124+H124+I124</f>
        <v>88</v>
      </c>
      <c r="K124" s="15">
        <f t="shared" si="9"/>
        <v>12</v>
      </c>
      <c r="L124" s="57">
        <f>H124</f>
        <v>62</v>
      </c>
      <c r="M124" s="12">
        <f>H124</f>
        <v>62</v>
      </c>
      <c r="N124" s="24">
        <f>0</f>
        <v>0</v>
      </c>
      <c r="O124" s="8">
        <f t="shared" si="5"/>
        <v>440</v>
      </c>
    </row>
    <row r="125" spans="1:15" ht="15.75" thickBot="1">
      <c r="A125" s="9" t="s">
        <v>131</v>
      </c>
      <c r="B125" s="10">
        <v>100</v>
      </c>
      <c r="C125" s="11">
        <f>B125*44%</f>
        <v>44</v>
      </c>
      <c r="D125" s="11">
        <f>B125*2%</f>
        <v>2</v>
      </c>
      <c r="E125" s="11"/>
      <c r="F125" s="11"/>
      <c r="G125" s="11"/>
      <c r="H125" s="11">
        <f>B125*44%</f>
        <v>44</v>
      </c>
      <c r="I125" s="11">
        <f>B125*9%</f>
        <v>9</v>
      </c>
      <c r="J125" s="11">
        <f>C125+H125+I125+D125+G76</f>
        <v>119</v>
      </c>
      <c r="K125" s="11">
        <f t="shared" si="9"/>
        <v>-19</v>
      </c>
      <c r="L125" s="57">
        <f>H125</f>
        <v>44</v>
      </c>
      <c r="M125" s="12">
        <f>H125</f>
        <v>44</v>
      </c>
      <c r="N125" s="24">
        <f>0</f>
        <v>0</v>
      </c>
      <c r="O125" s="8">
        <f t="shared" si="5"/>
        <v>616</v>
      </c>
    </row>
    <row r="126" spans="1:15" ht="15.75" thickBot="1">
      <c r="A126" s="9" t="s">
        <v>132</v>
      </c>
      <c r="B126" s="10">
        <v>100</v>
      </c>
      <c r="C126" s="11"/>
      <c r="D126" s="11"/>
      <c r="E126" s="11"/>
      <c r="F126" s="11"/>
      <c r="G126" s="11"/>
      <c r="H126" s="11">
        <f>B126*65%</f>
        <v>65</v>
      </c>
      <c r="I126" s="11">
        <f>B126*3%</f>
        <v>3</v>
      </c>
      <c r="J126" s="11">
        <f>C126+H126+I126+D126</f>
        <v>68</v>
      </c>
      <c r="K126" s="11">
        <f t="shared" si="9"/>
        <v>32</v>
      </c>
      <c r="L126" s="57">
        <f>H126+E126</f>
        <v>65</v>
      </c>
      <c r="M126" s="12">
        <f>H126+E126</f>
        <v>65</v>
      </c>
      <c r="N126" s="24">
        <f>0</f>
        <v>0</v>
      </c>
      <c r="O126" s="8">
        <f t="shared" si="5"/>
        <v>272</v>
      </c>
    </row>
    <row r="127" spans="1:15" ht="15.75" thickBot="1">
      <c r="A127" s="9" t="s">
        <v>133</v>
      </c>
      <c r="B127" s="10">
        <v>100</v>
      </c>
      <c r="C127" s="11">
        <f>B127*46%</f>
        <v>46</v>
      </c>
      <c r="D127" s="11"/>
      <c r="E127" s="11"/>
      <c r="F127" s="11"/>
      <c r="G127" s="11"/>
      <c r="H127" s="11">
        <f>B127*40%</f>
        <v>40</v>
      </c>
      <c r="I127" s="11">
        <f>B127*12%</f>
        <v>12</v>
      </c>
      <c r="J127" s="11">
        <f>I127+H127+G127+C127</f>
        <v>98</v>
      </c>
      <c r="K127" s="11">
        <f t="shared" si="9"/>
        <v>2</v>
      </c>
      <c r="L127" s="57">
        <f>H127</f>
        <v>40</v>
      </c>
      <c r="M127" s="12">
        <f>H127</f>
        <v>40</v>
      </c>
      <c r="N127" s="24">
        <f>0</f>
        <v>0</v>
      </c>
      <c r="O127" s="8">
        <f t="shared" si="5"/>
        <v>622</v>
      </c>
    </row>
    <row r="128" spans="1:15" ht="15.75" thickBot="1">
      <c r="A128" s="9" t="s">
        <v>134</v>
      </c>
      <c r="B128" s="10">
        <v>100</v>
      </c>
      <c r="C128" s="11">
        <f>B128*33%</f>
        <v>33</v>
      </c>
      <c r="D128" s="11">
        <f>B128*4%</f>
        <v>4</v>
      </c>
      <c r="E128" s="11"/>
      <c r="F128" s="11"/>
      <c r="G128" s="11"/>
      <c r="H128" s="11">
        <f>B128*57%</f>
        <v>56.99999999999999</v>
      </c>
      <c r="I128" s="11">
        <f>B128*5%</f>
        <v>5</v>
      </c>
      <c r="J128" s="11">
        <f>C128+H128+I128+D128</f>
        <v>99</v>
      </c>
      <c r="K128" s="11">
        <f t="shared" si="9"/>
        <v>1</v>
      </c>
      <c r="L128" s="57">
        <f>H128+E128</f>
        <v>56.99999999999999</v>
      </c>
      <c r="M128" s="12">
        <f>H128+E128</f>
        <v>56.99999999999999</v>
      </c>
      <c r="N128" s="24">
        <f>0</f>
        <v>0</v>
      </c>
      <c r="O128" s="8">
        <f t="shared" si="5"/>
        <v>561</v>
      </c>
    </row>
    <row r="129" spans="1:15" ht="15.75" thickBot="1">
      <c r="A129" s="34" t="s">
        <v>135</v>
      </c>
      <c r="B129" s="10">
        <v>100</v>
      </c>
      <c r="C129" s="11">
        <f>B129*26.1%</f>
        <v>26.1</v>
      </c>
      <c r="D129" s="11"/>
      <c r="E129" s="11"/>
      <c r="F129" s="11">
        <f>B129*1%</f>
        <v>1</v>
      </c>
      <c r="G129" s="11"/>
      <c r="H129" s="11">
        <f>B129*61%</f>
        <v>61</v>
      </c>
      <c r="I129" s="11">
        <f>B129*9%</f>
        <v>9</v>
      </c>
      <c r="J129" s="11">
        <f>C129+D129+E129+F129+H129+I129</f>
        <v>97.1</v>
      </c>
      <c r="K129" s="11">
        <f t="shared" si="9"/>
        <v>2.9000000000000057</v>
      </c>
      <c r="L129" s="57">
        <f>H129</f>
        <v>61</v>
      </c>
      <c r="M129" s="12">
        <f>H129</f>
        <v>61</v>
      </c>
      <c r="N129" s="24">
        <f>0</f>
        <v>0</v>
      </c>
      <c r="O129" s="8">
        <f t="shared" si="5"/>
        <v>514.9</v>
      </c>
    </row>
    <row r="130" spans="1:15" ht="15.75" thickBot="1">
      <c r="A130" s="31" t="s">
        <v>136</v>
      </c>
      <c r="B130" s="10">
        <v>100</v>
      </c>
      <c r="C130" s="11"/>
      <c r="D130" s="11"/>
      <c r="E130" s="11"/>
      <c r="F130" s="11"/>
      <c r="G130" s="11"/>
      <c r="H130" s="11">
        <f>B130*70%</f>
        <v>70</v>
      </c>
      <c r="I130" s="11"/>
      <c r="J130" s="11">
        <f>H130</f>
        <v>70</v>
      </c>
      <c r="K130" s="11">
        <f t="shared" si="9"/>
        <v>30</v>
      </c>
      <c r="L130" s="57">
        <f>B130*80%</f>
        <v>80</v>
      </c>
      <c r="M130" s="12">
        <f>B130*70%</f>
        <v>70</v>
      </c>
      <c r="N130" s="24">
        <f>0</f>
        <v>0</v>
      </c>
      <c r="O130" s="8">
        <f t="shared" si="5"/>
        <v>280</v>
      </c>
    </row>
    <row r="131" spans="1:15" ht="15.75" thickBot="1">
      <c r="A131" s="9" t="s">
        <v>137</v>
      </c>
      <c r="B131" s="10">
        <v>100</v>
      </c>
      <c r="C131" s="11"/>
      <c r="D131" s="11"/>
      <c r="E131" s="35"/>
      <c r="F131" s="11"/>
      <c r="G131" s="11"/>
      <c r="H131" s="11">
        <f>B131*61.5%</f>
        <v>61.5</v>
      </c>
      <c r="I131" s="11">
        <f>B131*8.5%</f>
        <v>8.5</v>
      </c>
      <c r="J131" s="11">
        <f>I131+H131</f>
        <v>70</v>
      </c>
      <c r="K131" s="11">
        <f t="shared" si="9"/>
        <v>30</v>
      </c>
      <c r="L131" s="57">
        <f>H131</f>
        <v>61.5</v>
      </c>
      <c r="M131" s="12">
        <f>H131</f>
        <v>61.5</v>
      </c>
      <c r="N131" s="24">
        <f>0</f>
        <v>0</v>
      </c>
      <c r="O131" s="8">
        <f t="shared" si="5"/>
        <v>280</v>
      </c>
    </row>
    <row r="132" spans="1:15" ht="15.75" thickBot="1">
      <c r="A132" s="36" t="s">
        <v>138</v>
      </c>
      <c r="B132" s="10">
        <v>100</v>
      </c>
      <c r="C132" s="11">
        <f>B132*1.4%</f>
        <v>1.4</v>
      </c>
      <c r="D132" s="11">
        <f>B132*1.3%</f>
        <v>1.3</v>
      </c>
      <c r="E132" s="15"/>
      <c r="F132" s="11"/>
      <c r="G132" s="11"/>
      <c r="H132" s="11">
        <f>B132*65%</f>
        <v>65</v>
      </c>
      <c r="I132" s="11">
        <f>B132*2%</f>
        <v>2</v>
      </c>
      <c r="J132" s="11">
        <f>C132+D132+E132+F132+H132+I132</f>
        <v>69.7</v>
      </c>
      <c r="K132" s="11">
        <f t="shared" si="9"/>
        <v>30.299999999999997</v>
      </c>
      <c r="L132" s="57">
        <f>B132*44.7%</f>
        <v>44.7</v>
      </c>
      <c r="M132" s="12">
        <f>B132*37.3%</f>
        <v>37.3</v>
      </c>
      <c r="N132" s="24">
        <f>0</f>
        <v>0</v>
      </c>
      <c r="O132" s="8">
        <f t="shared" si="5"/>
        <v>285.8</v>
      </c>
    </row>
    <row r="133" spans="1:15" ht="15.75" thickBot="1">
      <c r="A133" s="36" t="s">
        <v>232</v>
      </c>
      <c r="B133" s="18">
        <v>100</v>
      </c>
      <c r="C133" s="19">
        <f>B133*6%</f>
        <v>6</v>
      </c>
      <c r="D133" s="19">
        <f>B133*8.1%</f>
        <v>8.1</v>
      </c>
      <c r="E133" s="52">
        <f>B133*11.5%</f>
        <v>11.5</v>
      </c>
      <c r="F133" s="19">
        <f>B133*2%</f>
        <v>2</v>
      </c>
      <c r="G133" s="19">
        <f>F133+E133+D133</f>
        <v>21.6</v>
      </c>
      <c r="H133" s="19">
        <f>B133*44%</f>
        <v>44</v>
      </c>
      <c r="I133" s="38">
        <f>B133*2%</f>
        <v>2</v>
      </c>
      <c r="J133" s="19">
        <f>I133+H133+G133+C133</f>
        <v>73.6</v>
      </c>
      <c r="K133" s="11">
        <f t="shared" si="9"/>
        <v>26.400000000000006</v>
      </c>
      <c r="L133" s="55">
        <f>H133*140%+E133</f>
        <v>73.1</v>
      </c>
      <c r="M133" s="12">
        <f>H133*115%+E133*16%</f>
        <v>52.44</v>
      </c>
      <c r="N133" s="24">
        <f>0</f>
        <v>0</v>
      </c>
      <c r="O133" s="8">
        <f t="shared" si="5"/>
        <v>316.4</v>
      </c>
    </row>
    <row r="134" spans="1:15" ht="15.75" thickBot="1">
      <c r="A134" s="37" t="s">
        <v>139</v>
      </c>
      <c r="B134" s="18">
        <v>100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B134*64%</f>
        <v>64</v>
      </c>
      <c r="I134" s="38">
        <f>B134*5%</f>
        <v>5</v>
      </c>
      <c r="J134" s="19">
        <f>C134+H134+I134+D134</f>
        <v>69</v>
      </c>
      <c r="K134" s="19">
        <f t="shared" si="9"/>
        <v>31</v>
      </c>
      <c r="L134" s="55">
        <f>H134*78%+H134*22%*46%*180%</f>
        <v>61.57824</v>
      </c>
      <c r="M134" s="12">
        <f>H134*78%+H134*22%*46%*75%</f>
        <v>54.7776</v>
      </c>
      <c r="N134" s="24">
        <f>0</f>
        <v>0</v>
      </c>
      <c r="O134" s="8">
        <f t="shared" si="5"/>
        <v>276</v>
      </c>
    </row>
    <row r="135" spans="1:15" ht="15.75" thickBot="1">
      <c r="A135" s="34" t="s">
        <v>140</v>
      </c>
      <c r="B135" s="10">
        <v>100</v>
      </c>
      <c r="C135" s="11"/>
      <c r="D135" s="11"/>
      <c r="E135" s="11"/>
      <c r="F135" s="11"/>
      <c r="G135" s="11"/>
      <c r="H135" s="11">
        <f>B135*59.5%</f>
        <v>59.5</v>
      </c>
      <c r="I135" s="11">
        <f>B135*9.57%</f>
        <v>9.57</v>
      </c>
      <c r="J135" s="11">
        <f>C135+D135+E135+F135+H135+I135</f>
        <v>69.07</v>
      </c>
      <c r="K135" s="11">
        <f t="shared" si="9"/>
        <v>30.930000000000007</v>
      </c>
      <c r="L135" s="57">
        <f>H135</f>
        <v>59.5</v>
      </c>
      <c r="M135" s="12">
        <f>H135</f>
        <v>59.5</v>
      </c>
      <c r="N135" s="24">
        <f>0</f>
        <v>0</v>
      </c>
      <c r="O135" s="8">
        <f t="shared" si="5"/>
        <v>276.28</v>
      </c>
    </row>
    <row r="136" spans="1:15" ht="15.75" thickBot="1">
      <c r="A136" s="39" t="s">
        <v>141</v>
      </c>
      <c r="B136" s="25">
        <v>100</v>
      </c>
      <c r="C136" s="32"/>
      <c r="D136" s="32">
        <f>B136*0.18%</f>
        <v>0.18</v>
      </c>
      <c r="E136" s="32"/>
      <c r="F136" s="32"/>
      <c r="G136" s="32"/>
      <c r="H136" s="32">
        <f>B136*59%</f>
        <v>59</v>
      </c>
      <c r="I136" s="32">
        <f>B136*10%</f>
        <v>10</v>
      </c>
      <c r="J136" s="32">
        <f>D136+H136+I136</f>
        <v>69.18</v>
      </c>
      <c r="K136" s="32">
        <f t="shared" si="9"/>
        <v>30.819999999999993</v>
      </c>
      <c r="L136" s="56">
        <f>H136</f>
        <v>59</v>
      </c>
      <c r="M136" s="33">
        <f>H136</f>
        <v>59</v>
      </c>
      <c r="N136" s="24">
        <f>0</f>
        <v>0</v>
      </c>
      <c r="O136" s="8">
        <f t="shared" si="5"/>
        <v>276.72</v>
      </c>
    </row>
    <row r="137" spans="1:15" ht="15.75" thickBot="1">
      <c r="A137" s="21" t="s">
        <v>142</v>
      </c>
      <c r="B137" s="25">
        <v>100</v>
      </c>
      <c r="C137" s="32">
        <f>B137*47%</f>
        <v>47</v>
      </c>
      <c r="D137" s="32">
        <f>B137*10%</f>
        <v>10</v>
      </c>
      <c r="E137" s="32"/>
      <c r="F137" s="32"/>
      <c r="G137" s="32"/>
      <c r="H137" s="32">
        <f>B137*20%</f>
        <v>20</v>
      </c>
      <c r="I137" s="32">
        <f>B137*22%</f>
        <v>22</v>
      </c>
      <c r="J137" s="32">
        <f>C137+H137+I137+D137</f>
        <v>99</v>
      </c>
      <c r="K137" s="32">
        <f t="shared" si="9"/>
        <v>1</v>
      </c>
      <c r="L137" s="56">
        <f>H137+E137</f>
        <v>20</v>
      </c>
      <c r="M137" s="33">
        <f>H137+E137</f>
        <v>20</v>
      </c>
      <c r="N137" s="24">
        <f>0</f>
        <v>0</v>
      </c>
      <c r="O137" s="8">
        <f aca="true" t="shared" si="12" ref="O137:O200">C137*9+D137*4+E137*4+H137*4+I137*4+N137*7</f>
        <v>631</v>
      </c>
    </row>
    <row r="138" spans="1:15" ht="15.75" thickBot="1">
      <c r="A138" s="37" t="s">
        <v>143</v>
      </c>
      <c r="B138" s="40">
        <v>100</v>
      </c>
      <c r="C138" s="41">
        <f>B138*42%</f>
        <v>42</v>
      </c>
      <c r="D138" s="41">
        <f>B138*10%</f>
        <v>10</v>
      </c>
      <c r="E138" s="41"/>
      <c r="F138" s="41"/>
      <c r="G138" s="41"/>
      <c r="H138" s="41">
        <f>B138*30%</f>
        <v>30</v>
      </c>
      <c r="I138" s="41">
        <f>B138*17%</f>
        <v>17</v>
      </c>
      <c r="J138" s="41">
        <f>C138+H138+I138+D138</f>
        <v>99</v>
      </c>
      <c r="K138" s="41">
        <f t="shared" si="9"/>
        <v>1</v>
      </c>
      <c r="L138" s="59">
        <f>H138+E138</f>
        <v>30</v>
      </c>
      <c r="M138" s="28">
        <f>H138+E138</f>
        <v>30</v>
      </c>
      <c r="N138" s="24">
        <f>0</f>
        <v>0</v>
      </c>
      <c r="O138" s="8">
        <f t="shared" si="12"/>
        <v>606</v>
      </c>
    </row>
    <row r="139" spans="1:15" ht="15.75" thickBot="1">
      <c r="A139" s="9" t="s">
        <v>144</v>
      </c>
      <c r="B139" s="22">
        <v>100</v>
      </c>
      <c r="C139" s="11">
        <f>B139*43%</f>
        <v>43</v>
      </c>
      <c r="D139" s="11">
        <f>F139*36%</f>
        <v>0.46799999999999997</v>
      </c>
      <c r="E139" s="11">
        <f>F139*54%</f>
        <v>0.7020000000000001</v>
      </c>
      <c r="F139" s="11">
        <f>G139*10%</f>
        <v>1.3</v>
      </c>
      <c r="G139" s="11">
        <f>B139*13%</f>
        <v>13</v>
      </c>
      <c r="H139" s="11">
        <f>B139*12%</f>
        <v>12</v>
      </c>
      <c r="I139" s="11">
        <f>B139*28%</f>
        <v>28.000000000000004</v>
      </c>
      <c r="J139" s="11">
        <f>I139+H139+G139+C139</f>
        <v>96</v>
      </c>
      <c r="K139" s="11">
        <f t="shared" si="9"/>
        <v>4</v>
      </c>
      <c r="L139" s="57">
        <f>E139+H139</f>
        <v>12.702</v>
      </c>
      <c r="M139" s="23">
        <f>E139*16%+H139</f>
        <v>12.11232</v>
      </c>
      <c r="N139" s="24">
        <f>0</f>
        <v>0</v>
      </c>
      <c r="O139" s="8">
        <f t="shared" si="12"/>
        <v>551.6800000000001</v>
      </c>
    </row>
    <row r="140" spans="1:15" ht="15.75" thickBot="1">
      <c r="A140" s="21" t="s">
        <v>145</v>
      </c>
      <c r="B140" s="25">
        <v>100</v>
      </c>
      <c r="C140" s="32">
        <f>B140*19%</f>
        <v>19</v>
      </c>
      <c r="D140" s="32">
        <f>B140*0.14%</f>
        <v>0.14</v>
      </c>
      <c r="E140" s="32"/>
      <c r="F140" s="32"/>
      <c r="G140" s="32"/>
      <c r="H140" s="32">
        <f>B140*29%</f>
        <v>28.999999999999996</v>
      </c>
      <c r="I140" s="32">
        <f>B140*50%</f>
        <v>50</v>
      </c>
      <c r="J140" s="32">
        <f>C140+H140+I140+D140</f>
        <v>98.14</v>
      </c>
      <c r="K140" s="32">
        <f t="shared" si="9"/>
        <v>1.8599999999999994</v>
      </c>
      <c r="L140" s="56">
        <f>H140</f>
        <v>28.999999999999996</v>
      </c>
      <c r="M140" s="33">
        <f>H140</f>
        <v>28.999999999999996</v>
      </c>
      <c r="N140" s="24">
        <f>0</f>
        <v>0</v>
      </c>
      <c r="O140" s="8">
        <f t="shared" si="12"/>
        <v>487.56</v>
      </c>
    </row>
    <row r="141" spans="1:15" ht="15.75" thickBot="1">
      <c r="A141" s="39" t="s">
        <v>146</v>
      </c>
      <c r="B141" s="25">
        <v>100</v>
      </c>
      <c r="C141" s="32"/>
      <c r="D141" s="32">
        <f>B141*0.18%</f>
        <v>0.18</v>
      </c>
      <c r="E141" s="32"/>
      <c r="F141" s="32"/>
      <c r="G141" s="32"/>
      <c r="H141" s="32">
        <f>B141*59%</f>
        <v>59</v>
      </c>
      <c r="I141" s="32">
        <f>B141*10%</f>
        <v>10</v>
      </c>
      <c r="J141" s="32">
        <f>D141+H141+I141</f>
        <v>69.18</v>
      </c>
      <c r="K141" s="32">
        <f t="shared" si="9"/>
        <v>30.819999999999993</v>
      </c>
      <c r="L141" s="56">
        <f>H141</f>
        <v>59</v>
      </c>
      <c r="M141" s="33">
        <f>H141</f>
        <v>59</v>
      </c>
      <c r="N141" s="24">
        <f>0</f>
        <v>0</v>
      </c>
      <c r="O141" s="8">
        <f t="shared" si="12"/>
        <v>276.72</v>
      </c>
    </row>
    <row r="142" spans="1:15" ht="15.75" thickBot="1">
      <c r="A142" s="36" t="s">
        <v>147</v>
      </c>
      <c r="B142" s="25">
        <v>100</v>
      </c>
      <c r="C142" s="32"/>
      <c r="D142" s="32"/>
      <c r="E142" s="32"/>
      <c r="F142" s="32"/>
      <c r="G142" s="32"/>
      <c r="H142" s="32">
        <f>B142*60%</f>
        <v>60</v>
      </c>
      <c r="I142" s="32">
        <f>B142*10%</f>
        <v>10</v>
      </c>
      <c r="J142" s="32">
        <f>C142+D142+E142+F142+H142+I142</f>
        <v>70</v>
      </c>
      <c r="K142" s="32">
        <f t="shared" si="9"/>
        <v>30</v>
      </c>
      <c r="L142" s="56">
        <f>B142*70.4%+B142*27%*46%*180%+B142*2.6%*190%</f>
        <v>97.696</v>
      </c>
      <c r="M142" s="33">
        <f>B142*70.4%+B142*27%*46%*75%+B142*2.6%*140%</f>
        <v>83.355</v>
      </c>
      <c r="N142" s="24">
        <f>0</f>
        <v>0</v>
      </c>
      <c r="O142" s="8">
        <f t="shared" si="12"/>
        <v>280</v>
      </c>
    </row>
    <row r="143" spans="1:15" ht="15.75" thickBot="1">
      <c r="A143" s="34" t="s">
        <v>148</v>
      </c>
      <c r="B143" s="10">
        <v>100</v>
      </c>
      <c r="C143" s="42"/>
      <c r="D143" s="42"/>
      <c r="E143" s="42"/>
      <c r="F143" s="11"/>
      <c r="G143" s="42"/>
      <c r="H143" s="42">
        <f>B143*68.9%</f>
        <v>68.9</v>
      </c>
      <c r="I143" s="42">
        <f>B143*1%</f>
        <v>1</v>
      </c>
      <c r="J143" s="11">
        <f>I143+H143</f>
        <v>69.9</v>
      </c>
      <c r="K143" s="11">
        <f t="shared" si="9"/>
        <v>30.099999999999994</v>
      </c>
      <c r="L143" s="57">
        <f>B143*63%</f>
        <v>63</v>
      </c>
      <c r="M143" s="23">
        <f>B143*51%</f>
        <v>51</v>
      </c>
      <c r="N143" s="24">
        <f>0</f>
        <v>0</v>
      </c>
      <c r="O143" s="8">
        <f t="shared" si="12"/>
        <v>279.6</v>
      </c>
    </row>
    <row r="144" spans="1:15" ht="15.75" thickBot="1">
      <c r="A144" s="9" t="s">
        <v>149</v>
      </c>
      <c r="B144" s="10">
        <v>100</v>
      </c>
      <c r="C144" s="42">
        <v>0</v>
      </c>
      <c r="D144" s="42"/>
      <c r="E144" s="42"/>
      <c r="F144" s="11"/>
      <c r="G144" s="42"/>
      <c r="H144" s="42">
        <f>B144*56%</f>
        <v>56.00000000000001</v>
      </c>
      <c r="I144" s="42">
        <f>B144*5%</f>
        <v>5</v>
      </c>
      <c r="J144" s="11">
        <f>B144*61%</f>
        <v>61</v>
      </c>
      <c r="K144" s="11">
        <f t="shared" si="9"/>
        <v>39</v>
      </c>
      <c r="L144" s="57">
        <f>H144+E144+B144*2.8%*250%</f>
        <v>63.00000000000001</v>
      </c>
      <c r="M144" s="23">
        <f>H144+E144</f>
        <v>56.00000000000001</v>
      </c>
      <c r="N144" s="24">
        <f>0</f>
        <v>0</v>
      </c>
      <c r="O144" s="8">
        <f t="shared" si="12"/>
        <v>244.00000000000003</v>
      </c>
    </row>
    <row r="145" spans="1:15" ht="15.75" thickBot="1">
      <c r="A145" s="9" t="s">
        <v>150</v>
      </c>
      <c r="B145" s="10">
        <v>100</v>
      </c>
      <c r="C145" s="42"/>
      <c r="D145" s="42">
        <f>B145*12%</f>
        <v>12</v>
      </c>
      <c r="E145" s="42"/>
      <c r="F145" s="29"/>
      <c r="G145" s="42"/>
      <c r="H145" s="42">
        <f>B145*63.3%</f>
        <v>63.3</v>
      </c>
      <c r="I145" s="42">
        <f>B145*1%</f>
        <v>1</v>
      </c>
      <c r="J145" s="15">
        <f>C145+D145+H145+I145</f>
        <v>76.3</v>
      </c>
      <c r="K145" s="15">
        <f aca="true" t="shared" si="13" ref="K145:K208">B145-J145</f>
        <v>23.700000000000003</v>
      </c>
      <c r="L145" s="57">
        <f>H145</f>
        <v>63.3</v>
      </c>
      <c r="M145" s="23">
        <f>H145</f>
        <v>63.3</v>
      </c>
      <c r="N145" s="24">
        <f>0</f>
        <v>0</v>
      </c>
      <c r="O145" s="8">
        <f t="shared" si="12"/>
        <v>305.2</v>
      </c>
    </row>
    <row r="146" spans="1:15" ht="15.75" thickBot="1">
      <c r="A146" s="9" t="s">
        <v>151</v>
      </c>
      <c r="B146" s="10">
        <v>100</v>
      </c>
      <c r="C146" s="42">
        <f>B146*40%</f>
        <v>40</v>
      </c>
      <c r="D146" s="42">
        <f>B146*7%</f>
        <v>7.000000000000001</v>
      </c>
      <c r="E146" s="42"/>
      <c r="F146" s="11"/>
      <c r="G146" s="42"/>
      <c r="H146" s="42">
        <f>B146*45%</f>
        <v>45</v>
      </c>
      <c r="I146" s="42">
        <f>B146*8%</f>
        <v>8</v>
      </c>
      <c r="J146" s="11">
        <f>C146+H146+I146+D146</f>
        <v>100</v>
      </c>
      <c r="K146" s="11">
        <f t="shared" si="13"/>
        <v>0</v>
      </c>
      <c r="L146" s="57">
        <f>H146+E146</f>
        <v>45</v>
      </c>
      <c r="M146" s="23">
        <f>H146+E146</f>
        <v>45</v>
      </c>
      <c r="N146" s="24">
        <f>0</f>
        <v>0</v>
      </c>
      <c r="O146" s="8">
        <f t="shared" si="12"/>
        <v>600</v>
      </c>
    </row>
    <row r="147" spans="1:15" ht="15.75" thickBot="1">
      <c r="A147" s="21" t="s">
        <v>152</v>
      </c>
      <c r="B147" s="25">
        <v>100</v>
      </c>
      <c r="C147" s="32">
        <f>B147*27%</f>
        <v>27</v>
      </c>
      <c r="D147" s="32">
        <f>B147*8%</f>
        <v>8</v>
      </c>
      <c r="E147" s="11"/>
      <c r="F147" s="32"/>
      <c r="G147" s="32"/>
      <c r="H147" s="32">
        <f>B147*37%</f>
        <v>37</v>
      </c>
      <c r="I147" s="32">
        <f>B147*27%</f>
        <v>27</v>
      </c>
      <c r="J147" s="32">
        <f>C147+D147+H147+I147+0</f>
        <v>99</v>
      </c>
      <c r="K147" s="32">
        <f t="shared" si="13"/>
        <v>1</v>
      </c>
      <c r="L147" s="56">
        <f>H147</f>
        <v>37</v>
      </c>
      <c r="M147" s="33">
        <f>H147+E147</f>
        <v>37</v>
      </c>
      <c r="N147" s="24">
        <f>0</f>
        <v>0</v>
      </c>
      <c r="O147" s="8">
        <f t="shared" si="12"/>
        <v>531</v>
      </c>
    </row>
    <row r="148" spans="1:15" ht="15.75" thickBot="1">
      <c r="A148" s="9" t="s">
        <v>153</v>
      </c>
      <c r="B148" s="10">
        <v>100</v>
      </c>
      <c r="C148" s="42">
        <f>B148*51%</f>
        <v>51</v>
      </c>
      <c r="D148" s="42">
        <f>B148*8%</f>
        <v>8</v>
      </c>
      <c r="E148" s="42"/>
      <c r="F148" s="11"/>
      <c r="G148" s="42"/>
      <c r="H148" s="42">
        <f>B148*30%</f>
        <v>30</v>
      </c>
      <c r="I148" s="42">
        <f>B148*10%</f>
        <v>10</v>
      </c>
      <c r="J148" s="11">
        <f>C148+H148+I148+D148+G148</f>
        <v>99</v>
      </c>
      <c r="K148" s="11">
        <f t="shared" si="13"/>
        <v>1</v>
      </c>
      <c r="L148" s="57">
        <f>H148*54%+H148*39%*190%</f>
        <v>38.43000000000001</v>
      </c>
      <c r="M148" s="23">
        <f>H148</f>
        <v>30</v>
      </c>
      <c r="N148" s="24">
        <f>0</f>
        <v>0</v>
      </c>
      <c r="O148" s="8">
        <f t="shared" si="12"/>
        <v>651</v>
      </c>
    </row>
    <row r="149" spans="1:15" ht="15.75" thickBot="1">
      <c r="A149" s="9" t="s">
        <v>154</v>
      </c>
      <c r="B149" s="42">
        <v>100</v>
      </c>
      <c r="C149" s="42">
        <f>B149*0.3%</f>
        <v>0.3</v>
      </c>
      <c r="D149" s="42">
        <f>B149*0.68%</f>
        <v>0.68</v>
      </c>
      <c r="E149" s="42"/>
      <c r="F149" s="11"/>
      <c r="G149" s="42">
        <f>D149</f>
        <v>0.68</v>
      </c>
      <c r="H149" s="42">
        <f>B149*60%</f>
        <v>60</v>
      </c>
      <c r="I149" s="42">
        <f>B149*8%</f>
        <v>8</v>
      </c>
      <c r="J149" s="11">
        <f>C149+H149+I149+D149</f>
        <v>68.98</v>
      </c>
      <c r="K149" s="11">
        <f t="shared" si="13"/>
        <v>31.019999999999996</v>
      </c>
      <c r="L149" s="57">
        <f>H149</f>
        <v>60</v>
      </c>
      <c r="M149" s="23">
        <f>H149</f>
        <v>60</v>
      </c>
      <c r="N149" s="24">
        <f>0</f>
        <v>0</v>
      </c>
      <c r="O149" s="8">
        <f t="shared" si="12"/>
        <v>277.41999999999996</v>
      </c>
    </row>
    <row r="150" spans="1:15" ht="15.75" thickBot="1">
      <c r="A150" s="36" t="s">
        <v>155</v>
      </c>
      <c r="B150" s="32">
        <v>100</v>
      </c>
      <c r="C150" s="32"/>
      <c r="D150" s="32"/>
      <c r="E150" s="32"/>
      <c r="F150" s="32"/>
      <c r="G150" s="32"/>
      <c r="H150" s="32">
        <f>B150*60%</f>
        <v>60</v>
      </c>
      <c r="I150" s="32">
        <f>B150*9%</f>
        <v>9</v>
      </c>
      <c r="J150" s="32">
        <f>C150+D150+E150+F150+H150+I150</f>
        <v>69</v>
      </c>
      <c r="K150" s="32">
        <f t="shared" si="13"/>
        <v>31</v>
      </c>
      <c r="L150" s="56">
        <f>B150*68.5%+B150*29%*180%*46%+B150*2.5%*190%</f>
        <v>97.262</v>
      </c>
      <c r="M150" s="12">
        <f>B150*68.5%+B150*29%*46%*75%+B150*2.5%*140%</f>
        <v>82.005</v>
      </c>
      <c r="N150" s="24">
        <f>0</f>
        <v>0</v>
      </c>
      <c r="O150" s="8">
        <f t="shared" si="12"/>
        <v>276</v>
      </c>
    </row>
    <row r="151" spans="1:15" ht="15.75" thickBot="1">
      <c r="A151" s="43" t="s">
        <v>156</v>
      </c>
      <c r="B151" s="38">
        <v>100</v>
      </c>
      <c r="C151" s="19"/>
      <c r="D151" s="19"/>
      <c r="E151" s="19"/>
      <c r="F151" s="19"/>
      <c r="G151" s="19"/>
      <c r="H151" s="19">
        <f>B151*71.3%</f>
        <v>71.3</v>
      </c>
      <c r="I151" s="19">
        <f>B151*5%</f>
        <v>5</v>
      </c>
      <c r="J151" s="19">
        <f>C151+D151+E151+F151+H151+I151</f>
        <v>76.3</v>
      </c>
      <c r="K151" s="19">
        <f t="shared" si="13"/>
        <v>23.700000000000003</v>
      </c>
      <c r="L151" s="55">
        <f>H151</f>
        <v>71.3</v>
      </c>
      <c r="M151" s="12">
        <f>H151</f>
        <v>71.3</v>
      </c>
      <c r="N151" s="24">
        <f>0</f>
        <v>0</v>
      </c>
      <c r="O151" s="8">
        <f t="shared" si="12"/>
        <v>305.2</v>
      </c>
    </row>
    <row r="152" spans="1:15" ht="15.75" thickBot="1">
      <c r="A152" s="9" t="s">
        <v>157</v>
      </c>
      <c r="B152" s="42">
        <v>100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>B152*64%</f>
        <v>64</v>
      </c>
      <c r="I152" s="11">
        <f>B152*5%</f>
        <v>5</v>
      </c>
      <c r="J152" s="11">
        <f>C152+H152+I152+D152</f>
        <v>69</v>
      </c>
      <c r="K152" s="11">
        <f t="shared" si="13"/>
        <v>31</v>
      </c>
      <c r="L152" s="57">
        <f>H152*78%+H152*22%*180%</f>
        <v>75.26400000000001</v>
      </c>
      <c r="M152" s="12">
        <f>H152*78%+H152*22%*75%</f>
        <v>60.480000000000004</v>
      </c>
      <c r="N152" s="24">
        <f>0</f>
        <v>0</v>
      </c>
      <c r="O152" s="8">
        <f t="shared" si="12"/>
        <v>276</v>
      </c>
    </row>
    <row r="153" spans="1:15" ht="15.75" thickBot="1">
      <c r="A153" s="34" t="s">
        <v>158</v>
      </c>
      <c r="B153" s="42">
        <v>100</v>
      </c>
      <c r="C153" s="42"/>
      <c r="D153" s="42">
        <f>B153*4%</f>
        <v>4</v>
      </c>
      <c r="E153" s="42"/>
      <c r="F153" s="11"/>
      <c r="G153" s="42"/>
      <c r="H153" s="42">
        <f>B153*69%</f>
        <v>69</v>
      </c>
      <c r="I153" s="42">
        <f>B153*3%</f>
        <v>3</v>
      </c>
      <c r="J153" s="11">
        <f>C153+D153+E153+F153+H153+I153</f>
        <v>76</v>
      </c>
      <c r="K153" s="11">
        <f t="shared" si="13"/>
        <v>24</v>
      </c>
      <c r="L153" s="57">
        <f>H153</f>
        <v>69</v>
      </c>
      <c r="M153" s="23">
        <f>H153</f>
        <v>69</v>
      </c>
      <c r="N153" s="24">
        <f>0</f>
        <v>0</v>
      </c>
      <c r="O153" s="8">
        <f t="shared" si="12"/>
        <v>304</v>
      </c>
    </row>
    <row r="154" spans="1:15" ht="15.75" thickBot="1">
      <c r="A154" s="34" t="s">
        <v>159</v>
      </c>
      <c r="B154" s="32">
        <v>100</v>
      </c>
      <c r="C154" s="32"/>
      <c r="D154" s="32"/>
      <c r="E154" s="32"/>
      <c r="F154" s="32"/>
      <c r="G154" s="32"/>
      <c r="H154" s="32">
        <f>B154*60%</f>
        <v>60</v>
      </c>
      <c r="I154" s="32">
        <f>B154*9%</f>
        <v>9</v>
      </c>
      <c r="J154" s="32">
        <f>C154+D154+E154+F154+H154+I154</f>
        <v>69</v>
      </c>
      <c r="K154" s="32">
        <f t="shared" si="13"/>
        <v>31</v>
      </c>
      <c r="L154" s="56">
        <f>B154*68.5%+B154*29%*180%*46%+B154*2.5%*190%</f>
        <v>97.262</v>
      </c>
      <c r="M154" s="33">
        <f>B154*68.5%+B154*29%*46%*75%+B154*2.5%*140%</f>
        <v>82.005</v>
      </c>
      <c r="N154" s="24">
        <f>0</f>
        <v>0</v>
      </c>
      <c r="O154" s="8">
        <f t="shared" si="12"/>
        <v>276</v>
      </c>
    </row>
    <row r="155" spans="1:15" ht="15.75" thickBot="1">
      <c r="A155" s="21" t="s">
        <v>160</v>
      </c>
      <c r="B155" s="32">
        <v>100</v>
      </c>
      <c r="C155" s="26">
        <f>B155*60%</f>
        <v>60</v>
      </c>
      <c r="D155" s="26">
        <f>B155*13%</f>
        <v>13</v>
      </c>
      <c r="E155" s="26"/>
      <c r="F155" s="26">
        <v>0</v>
      </c>
      <c r="G155" s="26"/>
      <c r="H155" s="26">
        <f>B155*5%</f>
        <v>5</v>
      </c>
      <c r="I155" s="26">
        <f>B155*22%</f>
        <v>22</v>
      </c>
      <c r="J155" s="26">
        <f>C155+D155+E155+F155+H155+I155</f>
        <v>100</v>
      </c>
      <c r="K155" s="11">
        <f t="shared" si="13"/>
        <v>0</v>
      </c>
      <c r="L155" s="56">
        <f>B155*5%</f>
        <v>5</v>
      </c>
      <c r="M155" s="27">
        <f>B155*5%</f>
        <v>5</v>
      </c>
      <c r="N155" s="24">
        <f>0</f>
        <v>0</v>
      </c>
      <c r="O155" s="8">
        <f t="shared" si="12"/>
        <v>700</v>
      </c>
    </row>
    <row r="156" spans="1:15" ht="15.75" thickBot="1">
      <c r="A156" s="9" t="s">
        <v>161</v>
      </c>
      <c r="B156" s="42">
        <v>100</v>
      </c>
      <c r="C156" s="11">
        <f>B156*64%</f>
        <v>64</v>
      </c>
      <c r="D156" s="11">
        <f>B156*14%</f>
        <v>14.000000000000002</v>
      </c>
      <c r="E156" s="11"/>
      <c r="F156" s="11"/>
      <c r="G156" s="11"/>
      <c r="H156" s="11"/>
      <c r="I156" s="11">
        <f>B156*21%</f>
        <v>21</v>
      </c>
      <c r="J156" s="11">
        <f>C156+H156+I156+D156</f>
        <v>99</v>
      </c>
      <c r="K156" s="11">
        <f t="shared" si="13"/>
        <v>1</v>
      </c>
      <c r="L156" s="57">
        <f>H156+E156</f>
        <v>0</v>
      </c>
      <c r="M156" s="12">
        <f>H156+E156</f>
        <v>0</v>
      </c>
      <c r="N156" s="24">
        <f>0</f>
        <v>0</v>
      </c>
      <c r="O156" s="8">
        <f t="shared" si="12"/>
        <v>716</v>
      </c>
    </row>
    <row r="157" spans="1:15" ht="15.75" thickBot="1">
      <c r="A157" s="9" t="s">
        <v>162</v>
      </c>
      <c r="B157" s="32">
        <v>100</v>
      </c>
      <c r="C157" s="26">
        <f>B157*64%</f>
        <v>64</v>
      </c>
      <c r="D157" s="26">
        <f>B157*14%</f>
        <v>14.000000000000002</v>
      </c>
      <c r="E157" s="26"/>
      <c r="F157" s="26"/>
      <c r="G157" s="26"/>
      <c r="H157" s="26"/>
      <c r="I157" s="26">
        <f>B157*21%</f>
        <v>21</v>
      </c>
      <c r="J157" s="26">
        <f>C157+H157+I157+D157</f>
        <v>99</v>
      </c>
      <c r="K157" s="11">
        <f t="shared" si="13"/>
        <v>1</v>
      </c>
      <c r="L157" s="56">
        <f>H157+E157</f>
        <v>0</v>
      </c>
      <c r="M157" s="27">
        <f>H157+E157</f>
        <v>0</v>
      </c>
      <c r="N157" s="24">
        <f>0</f>
        <v>0</v>
      </c>
      <c r="O157" s="8">
        <f t="shared" si="12"/>
        <v>716</v>
      </c>
    </row>
    <row r="158" spans="1:15" ht="15.75" thickBot="1">
      <c r="A158" s="36" t="s">
        <v>163</v>
      </c>
      <c r="B158" s="42">
        <v>100</v>
      </c>
      <c r="C158" s="11">
        <f>B158*64%</f>
        <v>64</v>
      </c>
      <c r="D158" s="11">
        <f>B158*14%</f>
        <v>14.000000000000002</v>
      </c>
      <c r="E158" s="11"/>
      <c r="F158" s="11">
        <f>B158*1%</f>
        <v>1</v>
      </c>
      <c r="G158" s="11"/>
      <c r="H158" s="11"/>
      <c r="I158" s="11">
        <f>B158*20%</f>
        <v>20</v>
      </c>
      <c r="J158" s="11">
        <f>C158+D158+E158+F158+H158+I158</f>
        <v>99</v>
      </c>
      <c r="K158" s="11">
        <f t="shared" si="13"/>
        <v>1</v>
      </c>
      <c r="L158" s="57"/>
      <c r="M158" s="12"/>
      <c r="N158" s="24">
        <f>0</f>
        <v>0</v>
      </c>
      <c r="O158" s="8">
        <f t="shared" si="12"/>
        <v>712</v>
      </c>
    </row>
    <row r="159" spans="1:15" ht="15.75" thickBot="1">
      <c r="A159" s="37" t="s">
        <v>164</v>
      </c>
      <c r="B159" s="38">
        <v>100</v>
      </c>
      <c r="C159" s="19">
        <f>B159*64%</f>
        <v>64</v>
      </c>
      <c r="D159" s="19">
        <f>B159*14%</f>
        <v>14.000000000000002</v>
      </c>
      <c r="E159" s="19"/>
      <c r="F159" s="19"/>
      <c r="G159" s="19"/>
      <c r="H159" s="19"/>
      <c r="I159" s="38">
        <f>B159*21%</f>
        <v>21</v>
      </c>
      <c r="J159" s="19">
        <f>C159+H159+I159+D159</f>
        <v>99</v>
      </c>
      <c r="K159" s="11">
        <f t="shared" si="13"/>
        <v>1</v>
      </c>
      <c r="L159" s="55">
        <f>H159+E159</f>
        <v>0</v>
      </c>
      <c r="M159" s="12">
        <f>H159+E159</f>
        <v>0</v>
      </c>
      <c r="N159" s="24">
        <f>0</f>
        <v>0</v>
      </c>
      <c r="O159" s="8">
        <f t="shared" si="12"/>
        <v>716</v>
      </c>
    </row>
    <row r="160" spans="1:15" ht="15.75" thickBot="1">
      <c r="A160" s="44" t="s">
        <v>165</v>
      </c>
      <c r="B160" s="11">
        <v>100</v>
      </c>
      <c r="C160" s="11">
        <f>B160*57%</f>
        <v>56.99999999999999</v>
      </c>
      <c r="D160" s="11">
        <f>B160*4.5%</f>
        <v>4.5</v>
      </c>
      <c r="E160" s="11"/>
      <c r="F160" s="11"/>
      <c r="G160" s="11"/>
      <c r="H160" s="11">
        <f>B160*35%</f>
        <v>35</v>
      </c>
      <c r="I160" s="11">
        <f>B160*1%</f>
        <v>1</v>
      </c>
      <c r="J160" s="11">
        <f>C160+D160+E160+F160+H160+I160</f>
        <v>97.5</v>
      </c>
      <c r="K160" s="11">
        <f t="shared" si="13"/>
        <v>2.5</v>
      </c>
      <c r="L160" s="57">
        <f>H160</f>
        <v>35</v>
      </c>
      <c r="M160" s="11">
        <f>H160</f>
        <v>35</v>
      </c>
      <c r="N160" s="24">
        <f>0</f>
        <v>0</v>
      </c>
      <c r="O160" s="8">
        <f t="shared" si="12"/>
        <v>674.9999999999999</v>
      </c>
    </row>
    <row r="161" spans="1:15" ht="15.75" thickBot="1">
      <c r="A161" s="9" t="s">
        <v>166</v>
      </c>
      <c r="B161" s="42">
        <v>100</v>
      </c>
      <c r="C161" s="11">
        <f>B161*38.31%</f>
        <v>38.31</v>
      </c>
      <c r="D161" s="11">
        <f>B161*1.7%</f>
        <v>1.7000000000000002</v>
      </c>
      <c r="E161" s="11">
        <f>B161*2.97%</f>
        <v>2.97</v>
      </c>
      <c r="F161" s="11">
        <f>B161*0.3%</f>
        <v>0.3</v>
      </c>
      <c r="G161" s="11">
        <f>D161+E161+F161</f>
        <v>4.97</v>
      </c>
      <c r="H161" s="11">
        <f>B161*44%</f>
        <v>44</v>
      </c>
      <c r="I161" s="11">
        <f>B161*11.64%</f>
        <v>11.64</v>
      </c>
      <c r="J161" s="11">
        <f>I161+H161+C161+G161</f>
        <v>98.92</v>
      </c>
      <c r="K161" s="11">
        <f t="shared" si="13"/>
        <v>1.0799999999999983</v>
      </c>
      <c r="L161" s="57">
        <f>B161*47.13%</f>
        <v>47.13</v>
      </c>
      <c r="M161" s="12">
        <f>B161*37.43%</f>
        <v>37.43</v>
      </c>
      <c r="N161" s="24">
        <f>0</f>
        <v>0</v>
      </c>
      <c r="O161" s="8">
        <f t="shared" si="12"/>
        <v>586.03</v>
      </c>
    </row>
    <row r="162" spans="1:15" ht="15.75" thickBot="1">
      <c r="A162" s="45" t="s">
        <v>167</v>
      </c>
      <c r="B162" s="46">
        <v>100</v>
      </c>
      <c r="C162" s="46"/>
      <c r="D162" s="46"/>
      <c r="E162" s="46"/>
      <c r="F162" s="46"/>
      <c r="G162" s="46"/>
      <c r="H162" s="46">
        <f>B162*67.2%</f>
        <v>67.2</v>
      </c>
      <c r="I162" s="46">
        <f>B162*1.8%</f>
        <v>1.8000000000000003</v>
      </c>
      <c r="J162" s="46">
        <f>C162+G162+H162+I162</f>
        <v>69</v>
      </c>
      <c r="K162" s="46">
        <f t="shared" si="13"/>
        <v>31</v>
      </c>
      <c r="L162" s="60">
        <f>H162</f>
        <v>67.2</v>
      </c>
      <c r="M162" s="47">
        <f>H162</f>
        <v>67.2</v>
      </c>
      <c r="N162" s="24">
        <f>0</f>
        <v>0</v>
      </c>
      <c r="O162" s="8">
        <f t="shared" si="12"/>
        <v>276</v>
      </c>
    </row>
    <row r="163" spans="1:15" ht="15.75" thickBot="1">
      <c r="A163" s="36" t="s">
        <v>168</v>
      </c>
      <c r="B163" s="32">
        <v>100</v>
      </c>
      <c r="C163" s="32"/>
      <c r="D163" s="32"/>
      <c r="E163" s="32"/>
      <c r="F163" s="32"/>
      <c r="G163" s="32"/>
      <c r="H163" s="32">
        <f>B163*60%</f>
        <v>60</v>
      </c>
      <c r="I163" s="32">
        <f>B163*9%</f>
        <v>9</v>
      </c>
      <c r="J163" s="32">
        <f>C163+D163+E163+F163+H163+I163</f>
        <v>69</v>
      </c>
      <c r="K163" s="32">
        <f t="shared" si="13"/>
        <v>31</v>
      </c>
      <c r="L163" s="56">
        <f>B163*68.5%+B163*29%*180%*46%+B163*2.5%*190%</f>
        <v>97.262</v>
      </c>
      <c r="M163" s="33">
        <f>B163*68.5%+B163*29%*46%*75%+B163*2.5%*140%</f>
        <v>82.005</v>
      </c>
      <c r="N163" s="24">
        <f>0</f>
        <v>0</v>
      </c>
      <c r="O163" s="8">
        <f t="shared" si="12"/>
        <v>276</v>
      </c>
    </row>
    <row r="164" spans="1:15" ht="15.75" thickBot="1">
      <c r="A164" s="21" t="s">
        <v>169</v>
      </c>
      <c r="B164" s="32">
        <v>100</v>
      </c>
      <c r="C164" s="32">
        <f>B164*60%</f>
        <v>60</v>
      </c>
      <c r="D164" s="32">
        <f>B164*13%</f>
        <v>13</v>
      </c>
      <c r="E164" s="32"/>
      <c r="F164" s="32">
        <v>0</v>
      </c>
      <c r="G164" s="32"/>
      <c r="H164" s="32">
        <f>B164*5%</f>
        <v>5</v>
      </c>
      <c r="I164" s="32">
        <f>B164*22%</f>
        <v>22</v>
      </c>
      <c r="J164" s="32">
        <f>C164+D164+E164+F164+H164+I164</f>
        <v>100</v>
      </c>
      <c r="K164" s="32">
        <f t="shared" si="13"/>
        <v>0</v>
      </c>
      <c r="L164" s="56">
        <f>B164*5%</f>
        <v>5</v>
      </c>
      <c r="M164" s="33">
        <f>B164*5%</f>
        <v>5</v>
      </c>
      <c r="N164" s="24">
        <f>0</f>
        <v>0</v>
      </c>
      <c r="O164" s="8">
        <f t="shared" si="12"/>
        <v>700</v>
      </c>
    </row>
    <row r="165" spans="1:15" ht="15.75" thickBot="1">
      <c r="A165" s="21" t="s">
        <v>170</v>
      </c>
      <c r="B165" s="32">
        <v>100</v>
      </c>
      <c r="C165" s="32">
        <f>B165*65%</f>
        <v>65</v>
      </c>
      <c r="D165" s="32">
        <f>B165*13%</f>
        <v>13</v>
      </c>
      <c r="E165" s="32"/>
      <c r="F165" s="32"/>
      <c r="G165" s="32"/>
      <c r="H165" s="32">
        <v>0</v>
      </c>
      <c r="I165" s="32">
        <f>B165*22%</f>
        <v>22</v>
      </c>
      <c r="J165" s="32">
        <f>C165+H165+I165+D165</f>
        <v>100</v>
      </c>
      <c r="K165" s="32">
        <f t="shared" si="13"/>
        <v>0</v>
      </c>
      <c r="L165" s="56">
        <f>H165+E165</f>
        <v>0</v>
      </c>
      <c r="M165" s="33">
        <f>H165+E165</f>
        <v>0</v>
      </c>
      <c r="N165" s="24">
        <f>0</f>
        <v>0</v>
      </c>
      <c r="O165" s="8">
        <f t="shared" si="12"/>
        <v>725</v>
      </c>
    </row>
    <row r="166" spans="1:15" ht="15.75" thickBot="1">
      <c r="A166" s="21" t="s">
        <v>171</v>
      </c>
      <c r="B166" s="32">
        <v>100</v>
      </c>
      <c r="C166" s="32"/>
      <c r="D166" s="32"/>
      <c r="E166" s="32"/>
      <c r="F166" s="32"/>
      <c r="G166" s="32"/>
      <c r="H166" s="32">
        <f>B166*67%</f>
        <v>67</v>
      </c>
      <c r="I166" s="32">
        <f>B166*2%</f>
        <v>2</v>
      </c>
      <c r="J166" s="32">
        <f>C166+H166+I166+D166+G115</f>
        <v>69</v>
      </c>
      <c r="K166" s="32">
        <f t="shared" si="13"/>
        <v>31</v>
      </c>
      <c r="L166" s="56">
        <f>H166</f>
        <v>67</v>
      </c>
      <c r="M166" s="33">
        <f>H166</f>
        <v>67</v>
      </c>
      <c r="N166" s="24">
        <f>0</f>
        <v>0</v>
      </c>
      <c r="O166" s="8">
        <f t="shared" si="12"/>
        <v>276</v>
      </c>
    </row>
    <row r="167" spans="1:15" ht="15.75" thickBot="1">
      <c r="A167" s="36" t="s">
        <v>172</v>
      </c>
      <c r="B167" s="32">
        <v>100</v>
      </c>
      <c r="C167" s="32">
        <f>B167*30%</f>
        <v>30</v>
      </c>
      <c r="D167" s="32">
        <f>B167*13%</f>
        <v>13</v>
      </c>
      <c r="E167" s="32"/>
      <c r="F167" s="32">
        <f>B167*1%</f>
        <v>1</v>
      </c>
      <c r="G167" s="32"/>
      <c r="H167" s="32">
        <f>B167*2%</f>
        <v>2</v>
      </c>
      <c r="I167" s="32">
        <f>B167*50%</f>
        <v>50</v>
      </c>
      <c r="J167" s="32">
        <f>C167+D167+E167+F167+H167+I167</f>
        <v>96</v>
      </c>
      <c r="K167" s="32">
        <f t="shared" si="13"/>
        <v>4</v>
      </c>
      <c r="L167" s="56">
        <f>H167</f>
        <v>2</v>
      </c>
      <c r="M167" s="33">
        <f>H167</f>
        <v>2</v>
      </c>
      <c r="N167" s="24">
        <f>0</f>
        <v>0</v>
      </c>
      <c r="O167" s="8">
        <f t="shared" si="12"/>
        <v>530</v>
      </c>
    </row>
    <row r="168" spans="1:15" ht="15.75" thickBot="1">
      <c r="A168" s="21" t="s">
        <v>173</v>
      </c>
      <c r="B168" s="32">
        <v>100</v>
      </c>
      <c r="C168" s="32">
        <f>B168*29%</f>
        <v>28.999999999999996</v>
      </c>
      <c r="D168" s="32">
        <f>B168*0.5%</f>
        <v>0.5</v>
      </c>
      <c r="E168" s="32"/>
      <c r="F168" s="32"/>
      <c r="G168" s="32"/>
      <c r="H168" s="32">
        <f>B168*35%</f>
        <v>35</v>
      </c>
      <c r="I168" s="32">
        <f>B168*34.5%</f>
        <v>34.5</v>
      </c>
      <c r="J168" s="32">
        <f>C168+D168+H168+I168</f>
        <v>99</v>
      </c>
      <c r="K168" s="32">
        <f t="shared" si="13"/>
        <v>1</v>
      </c>
      <c r="L168" s="56">
        <f>H168</f>
        <v>35</v>
      </c>
      <c r="M168" s="33">
        <f>H168+E168</f>
        <v>35</v>
      </c>
      <c r="N168" s="24">
        <f>0</f>
        <v>0</v>
      </c>
      <c r="O168" s="8">
        <f t="shared" si="12"/>
        <v>541</v>
      </c>
    </row>
    <row r="169" spans="1:15" ht="15.75" thickBot="1">
      <c r="A169" s="37" t="s">
        <v>174</v>
      </c>
      <c r="B169" s="41">
        <v>100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f>B169*67%</f>
        <v>67</v>
      </c>
      <c r="I169" s="41">
        <f>B169*2%</f>
        <v>2</v>
      </c>
      <c r="J169" s="41">
        <f>C169+H169+I169+D169</f>
        <v>69</v>
      </c>
      <c r="K169" s="41">
        <f t="shared" si="13"/>
        <v>31</v>
      </c>
      <c r="L169" s="59">
        <f>H169*76.5%+H169*24.4%*180%</f>
        <v>80.6814</v>
      </c>
      <c r="M169" s="28">
        <f>H169*76.5%+H169*24.4%*75%</f>
        <v>63.516000000000005</v>
      </c>
      <c r="N169" s="24">
        <f>0</f>
        <v>0</v>
      </c>
      <c r="O169" s="8">
        <f t="shared" si="12"/>
        <v>276</v>
      </c>
    </row>
    <row r="170" spans="1:15" ht="15.75" thickBot="1">
      <c r="A170" s="9" t="s">
        <v>175</v>
      </c>
      <c r="B170" s="22">
        <v>100</v>
      </c>
      <c r="C170" s="11">
        <f>B170*48%</f>
        <v>48</v>
      </c>
      <c r="D170" s="11">
        <f>B170*8%</f>
        <v>8</v>
      </c>
      <c r="E170" s="11"/>
      <c r="F170" s="11"/>
      <c r="G170" s="11"/>
      <c r="H170" s="11">
        <f>B170*36%</f>
        <v>36</v>
      </c>
      <c r="I170" s="11">
        <f>B170*7%</f>
        <v>7.000000000000001</v>
      </c>
      <c r="J170" s="11">
        <f>C170+H170+I170+D170+G118</f>
        <v>99</v>
      </c>
      <c r="K170" s="11">
        <f t="shared" si="13"/>
        <v>1</v>
      </c>
      <c r="L170" s="57">
        <f>B170*42%</f>
        <v>42</v>
      </c>
      <c r="M170" s="23">
        <f>B170*42%</f>
        <v>42</v>
      </c>
      <c r="N170" s="24">
        <f>0</f>
        <v>0</v>
      </c>
      <c r="O170" s="8">
        <f t="shared" si="12"/>
        <v>636</v>
      </c>
    </row>
    <row r="171" spans="1:15" ht="15.75" thickBot="1">
      <c r="A171" s="21" t="s">
        <v>176</v>
      </c>
      <c r="B171" s="32">
        <v>100</v>
      </c>
      <c r="C171" s="32">
        <f>B171*54%</f>
        <v>54</v>
      </c>
      <c r="D171" s="32">
        <f>B171*13%</f>
        <v>13</v>
      </c>
      <c r="E171" s="32"/>
      <c r="F171" s="32"/>
      <c r="G171" s="32"/>
      <c r="H171" s="32">
        <f>B171*9%</f>
        <v>9</v>
      </c>
      <c r="I171" s="32">
        <f>B171*23%</f>
        <v>23</v>
      </c>
      <c r="J171" s="32">
        <f>C171+D171+H171+I171</f>
        <v>99</v>
      </c>
      <c r="K171" s="32">
        <f t="shared" si="13"/>
        <v>1</v>
      </c>
      <c r="L171" s="56">
        <f>H171</f>
        <v>9</v>
      </c>
      <c r="M171" s="33">
        <f>H171+E171</f>
        <v>9</v>
      </c>
      <c r="N171" s="24">
        <f>0</f>
        <v>0</v>
      </c>
      <c r="O171" s="8">
        <f t="shared" si="12"/>
        <v>666</v>
      </c>
    </row>
    <row r="172" spans="1:15" ht="15.75" thickBot="1">
      <c r="A172" s="21" t="s">
        <v>177</v>
      </c>
      <c r="B172" s="32">
        <v>100</v>
      </c>
      <c r="C172" s="32">
        <f>B172*5.5%</f>
        <v>5.5</v>
      </c>
      <c r="D172" s="32"/>
      <c r="E172" s="32"/>
      <c r="F172" s="32"/>
      <c r="G172" s="32"/>
      <c r="H172" s="32">
        <f>B172*36%</f>
        <v>36</v>
      </c>
      <c r="I172" s="32">
        <f>B172*7.6%</f>
        <v>7.6</v>
      </c>
      <c r="J172" s="32">
        <f>C172+H172+I172+D172</f>
        <v>49.1</v>
      </c>
      <c r="K172" s="32">
        <f t="shared" si="13"/>
        <v>50.9</v>
      </c>
      <c r="L172" s="56">
        <f>H172+E172+B172*15.7%*250%</f>
        <v>75.25</v>
      </c>
      <c r="M172" s="33">
        <f>H172+E172</f>
        <v>36</v>
      </c>
      <c r="N172" s="24">
        <f>0</f>
        <v>0</v>
      </c>
      <c r="O172" s="8">
        <f t="shared" si="12"/>
        <v>223.9</v>
      </c>
    </row>
    <row r="173" spans="1:15" ht="15.75" thickBot="1">
      <c r="A173" s="21" t="s">
        <v>178</v>
      </c>
      <c r="B173" s="32">
        <v>100</v>
      </c>
      <c r="C173" s="32">
        <f>B173*4.2%</f>
        <v>4.2</v>
      </c>
      <c r="D173" s="32">
        <f>B173*2%</f>
        <v>2</v>
      </c>
      <c r="E173" s="32"/>
      <c r="F173" s="48"/>
      <c r="G173" s="32"/>
      <c r="H173" s="32">
        <f>B173*49.2%</f>
        <v>49.2</v>
      </c>
      <c r="I173" s="32"/>
      <c r="J173" s="46">
        <f>C173+D173+H173+I173</f>
        <v>55.400000000000006</v>
      </c>
      <c r="K173" s="46">
        <f t="shared" si="13"/>
        <v>44.599999999999994</v>
      </c>
      <c r="L173" s="56">
        <f>H173</f>
        <v>49.2</v>
      </c>
      <c r="M173" s="33">
        <f>H173</f>
        <v>49.2</v>
      </c>
      <c r="N173" s="24">
        <f>0</f>
        <v>0</v>
      </c>
      <c r="O173" s="8">
        <f t="shared" si="12"/>
        <v>242.60000000000002</v>
      </c>
    </row>
    <row r="174" spans="1:15" ht="15.75" thickBot="1">
      <c r="A174" s="21" t="s">
        <v>179</v>
      </c>
      <c r="B174" s="32">
        <v>100</v>
      </c>
      <c r="C174" s="32">
        <f>B174*3.9%</f>
        <v>3.9</v>
      </c>
      <c r="D174" s="32">
        <f>B174*2.5%</f>
        <v>2.5</v>
      </c>
      <c r="E174" s="32"/>
      <c r="F174" s="32">
        <f>B174*1%</f>
        <v>1</v>
      </c>
      <c r="G174" s="32"/>
      <c r="H174" s="32">
        <f>B174*62%</f>
        <v>62</v>
      </c>
      <c r="I174" s="32"/>
      <c r="J174" s="32">
        <f>B174*69%</f>
        <v>69</v>
      </c>
      <c r="K174" s="32">
        <f t="shared" si="13"/>
        <v>31</v>
      </c>
      <c r="L174" s="56">
        <f>B174*90%</f>
        <v>90</v>
      </c>
      <c r="M174" s="33">
        <f>B174*50%</f>
        <v>50</v>
      </c>
      <c r="N174" s="24">
        <f>0</f>
        <v>0</v>
      </c>
      <c r="O174" s="8">
        <f t="shared" si="12"/>
        <v>293.1</v>
      </c>
    </row>
    <row r="175" spans="1:15" ht="15.75" thickBot="1">
      <c r="A175" s="21" t="s">
        <v>180</v>
      </c>
      <c r="B175" s="32">
        <v>100</v>
      </c>
      <c r="C175" s="32">
        <f>B175*19%</f>
        <v>19</v>
      </c>
      <c r="D175" s="32">
        <f>B175*4%</f>
        <v>4</v>
      </c>
      <c r="E175" s="32"/>
      <c r="F175" s="32"/>
      <c r="G175" s="32"/>
      <c r="H175" s="32">
        <f>B175*62%</f>
        <v>62</v>
      </c>
      <c r="I175" s="32">
        <f>B175*14%</f>
        <v>14.000000000000002</v>
      </c>
      <c r="J175" s="32">
        <f>C175+D175+H175+I175</f>
        <v>99</v>
      </c>
      <c r="K175" s="32">
        <f t="shared" si="13"/>
        <v>1</v>
      </c>
      <c r="L175" s="56">
        <f>H175</f>
        <v>62</v>
      </c>
      <c r="M175" s="33">
        <f>H175+E175</f>
        <v>62</v>
      </c>
      <c r="N175" s="24">
        <f>0</f>
        <v>0</v>
      </c>
      <c r="O175" s="8">
        <f t="shared" si="12"/>
        <v>491</v>
      </c>
    </row>
    <row r="176" spans="1:15" ht="15.75" thickBot="1">
      <c r="A176" s="21" t="s">
        <v>181</v>
      </c>
      <c r="B176" s="32">
        <v>100</v>
      </c>
      <c r="C176" s="32">
        <f>B176*36.5%</f>
        <v>36.5</v>
      </c>
      <c r="D176" s="32">
        <v>0</v>
      </c>
      <c r="E176" s="32"/>
      <c r="F176" s="32"/>
      <c r="G176" s="32"/>
      <c r="H176" s="32">
        <f>B176*52%</f>
        <v>52</v>
      </c>
      <c r="I176" s="32">
        <f>B176*11.5%</f>
        <v>11.5</v>
      </c>
      <c r="J176" s="32">
        <f>C176+D176+H176+I176</f>
        <v>100</v>
      </c>
      <c r="K176" s="32">
        <f t="shared" si="13"/>
        <v>0</v>
      </c>
      <c r="L176" s="56">
        <f>H176</f>
        <v>52</v>
      </c>
      <c r="M176" s="33">
        <f>H176+E176</f>
        <v>52</v>
      </c>
      <c r="N176" s="24">
        <f>0</f>
        <v>0</v>
      </c>
      <c r="O176" s="8">
        <f t="shared" si="12"/>
        <v>582.5</v>
      </c>
    </row>
    <row r="177" spans="1:15" ht="15.75" thickBot="1">
      <c r="A177" s="21" t="s">
        <v>182</v>
      </c>
      <c r="B177" s="32">
        <v>100</v>
      </c>
      <c r="C177" s="32">
        <f>B177*35.5%</f>
        <v>35.5</v>
      </c>
      <c r="D177" s="32"/>
      <c r="E177" s="32"/>
      <c r="F177" s="32"/>
      <c r="G177" s="32"/>
      <c r="H177" s="32">
        <f>B177*53.5%</f>
        <v>53.5</v>
      </c>
      <c r="I177" s="32">
        <f>B177*10%</f>
        <v>10</v>
      </c>
      <c r="J177" s="32">
        <f>C177+H177+I177+D177+G124</f>
        <v>99</v>
      </c>
      <c r="K177" s="32">
        <f t="shared" si="13"/>
        <v>1</v>
      </c>
      <c r="L177" s="56">
        <f>B177*42%</f>
        <v>42</v>
      </c>
      <c r="M177" s="33">
        <f>B177*42%</f>
        <v>42</v>
      </c>
      <c r="N177" s="24">
        <f>0</f>
        <v>0</v>
      </c>
      <c r="O177" s="8">
        <f t="shared" si="12"/>
        <v>573.5</v>
      </c>
    </row>
    <row r="178" spans="1:15" ht="15.75" thickBot="1">
      <c r="A178" s="36" t="s">
        <v>183</v>
      </c>
      <c r="B178" s="32">
        <v>100</v>
      </c>
      <c r="C178" s="32">
        <f>B178*30%</f>
        <v>30</v>
      </c>
      <c r="D178" s="32">
        <f>B178*4.1%</f>
        <v>4.1</v>
      </c>
      <c r="E178" s="32"/>
      <c r="F178" s="32">
        <f>B178*1%</f>
        <v>1</v>
      </c>
      <c r="G178" s="32"/>
      <c r="H178" s="32">
        <f>B178*54%</f>
        <v>54</v>
      </c>
      <c r="I178" s="32">
        <f>B178*7%</f>
        <v>7.000000000000001</v>
      </c>
      <c r="J178" s="32">
        <f>C178+D178+E178+F178+H178+I178</f>
        <v>96.1</v>
      </c>
      <c r="K178" s="32">
        <f t="shared" si="13"/>
        <v>3.9000000000000057</v>
      </c>
      <c r="L178" s="56">
        <f>H178</f>
        <v>54</v>
      </c>
      <c r="M178" s="33">
        <f>H178</f>
        <v>54</v>
      </c>
      <c r="N178" s="24">
        <f>0</f>
        <v>0</v>
      </c>
      <c r="O178" s="8">
        <f t="shared" si="12"/>
        <v>530.4</v>
      </c>
    </row>
    <row r="179" spans="1:15" ht="15.75" thickBot="1">
      <c r="A179" s="21" t="s">
        <v>184</v>
      </c>
      <c r="B179" s="32">
        <v>100</v>
      </c>
      <c r="C179" s="32"/>
      <c r="D179" s="32"/>
      <c r="E179" s="32"/>
      <c r="F179" s="48"/>
      <c r="G179" s="32"/>
      <c r="H179" s="32">
        <f>B179*67%</f>
        <v>67</v>
      </c>
      <c r="I179" s="32">
        <f>B179*2%</f>
        <v>2</v>
      </c>
      <c r="J179" s="46">
        <f>H179+I179</f>
        <v>69</v>
      </c>
      <c r="K179" s="46">
        <f t="shared" si="13"/>
        <v>31</v>
      </c>
      <c r="L179" s="56">
        <f>H179</f>
        <v>67</v>
      </c>
      <c r="M179" s="33">
        <f>H179</f>
        <v>67</v>
      </c>
      <c r="N179" s="24">
        <f>0</f>
        <v>0</v>
      </c>
      <c r="O179" s="8">
        <f t="shared" si="12"/>
        <v>276</v>
      </c>
    </row>
    <row r="180" spans="1:15" ht="15.75" thickBot="1">
      <c r="A180" s="45" t="s">
        <v>185</v>
      </c>
      <c r="B180" s="46">
        <v>100</v>
      </c>
      <c r="C180" s="46"/>
      <c r="D180" s="46"/>
      <c r="E180" s="46"/>
      <c r="F180" s="46"/>
      <c r="G180" s="46"/>
      <c r="H180" s="46">
        <f>B180*66.1%</f>
        <v>66.1</v>
      </c>
      <c r="I180" s="46">
        <f>B180*4%</f>
        <v>4</v>
      </c>
      <c r="J180" s="46">
        <f>I180+H180</f>
        <v>70.1</v>
      </c>
      <c r="K180" s="32">
        <f t="shared" si="13"/>
        <v>29.900000000000006</v>
      </c>
      <c r="L180" s="60">
        <f>B180*81.8%</f>
        <v>81.8</v>
      </c>
      <c r="M180" s="47">
        <f>B180*69%</f>
        <v>69</v>
      </c>
      <c r="N180" s="24">
        <f>0</f>
        <v>0</v>
      </c>
      <c r="O180" s="8">
        <f t="shared" si="12"/>
        <v>280.4</v>
      </c>
    </row>
    <row r="181" spans="1:15" ht="15.75" thickBot="1">
      <c r="A181" s="21" t="s">
        <v>186</v>
      </c>
      <c r="B181" s="32">
        <v>100</v>
      </c>
      <c r="C181" s="32"/>
      <c r="D181" s="32"/>
      <c r="E181" s="32"/>
      <c r="F181" s="48"/>
      <c r="G181" s="32"/>
      <c r="H181" s="32">
        <f>B181*68.1%</f>
        <v>68.1</v>
      </c>
      <c r="I181" s="32">
        <f>B181*2%</f>
        <v>2</v>
      </c>
      <c r="J181" s="46">
        <f>C181+D181+H181+I181</f>
        <v>70.1</v>
      </c>
      <c r="K181" s="46">
        <f t="shared" si="13"/>
        <v>29.900000000000006</v>
      </c>
      <c r="L181" s="56">
        <f>H181</f>
        <v>68.1</v>
      </c>
      <c r="M181" s="33">
        <f>H181</f>
        <v>68.1</v>
      </c>
      <c r="N181" s="24">
        <f>0</f>
        <v>0</v>
      </c>
      <c r="O181" s="8">
        <f t="shared" si="12"/>
        <v>280.4</v>
      </c>
    </row>
    <row r="182" spans="1:15" ht="15.75" thickBot="1">
      <c r="A182" s="21" t="s">
        <v>187</v>
      </c>
      <c r="B182" s="32">
        <v>100</v>
      </c>
      <c r="C182" s="32"/>
      <c r="D182" s="32"/>
      <c r="E182" s="32"/>
      <c r="F182" s="32"/>
      <c r="G182" s="32"/>
      <c r="H182" s="32">
        <f>B182*67%</f>
        <v>67</v>
      </c>
      <c r="I182" s="32">
        <f>B182*2%</f>
        <v>2</v>
      </c>
      <c r="J182" s="32">
        <f>C182+H182+I182+D182+G128</f>
        <v>69</v>
      </c>
      <c r="K182" s="32">
        <f t="shared" si="13"/>
        <v>31</v>
      </c>
      <c r="L182" s="56">
        <f>H182*76%+H182*24%*46%*180%</f>
        <v>64.23424</v>
      </c>
      <c r="M182" s="33">
        <f>H182*76%+H182*24%*46%*75%</f>
        <v>56.467600000000004</v>
      </c>
      <c r="N182" s="24">
        <f>0</f>
        <v>0</v>
      </c>
      <c r="O182" s="8">
        <f t="shared" si="12"/>
        <v>276</v>
      </c>
    </row>
    <row r="183" spans="1:15" ht="15.75" thickBot="1">
      <c r="A183" s="21" t="s">
        <v>188</v>
      </c>
      <c r="B183" s="32">
        <v>100</v>
      </c>
      <c r="C183" s="32"/>
      <c r="D183" s="32">
        <f>B183*2%</f>
        <v>2</v>
      </c>
      <c r="E183" s="32"/>
      <c r="F183" s="32">
        <f>B183*1%</f>
        <v>1</v>
      </c>
      <c r="G183" s="32"/>
      <c r="H183" s="32">
        <f>B183*60%</f>
        <v>60</v>
      </c>
      <c r="I183" s="32">
        <f>B183*7%</f>
        <v>7.000000000000001</v>
      </c>
      <c r="J183" s="32">
        <f>C183+D183+E183+F183+H183+I183</f>
        <v>70</v>
      </c>
      <c r="K183" s="32">
        <f t="shared" si="13"/>
        <v>30</v>
      </c>
      <c r="L183" s="56">
        <f>H183</f>
        <v>60</v>
      </c>
      <c r="M183" s="33">
        <f>H183</f>
        <v>60</v>
      </c>
      <c r="N183" s="24">
        <f>0</f>
        <v>0</v>
      </c>
      <c r="O183" s="8">
        <f t="shared" si="12"/>
        <v>276</v>
      </c>
    </row>
    <row r="184" spans="1:15" ht="15.75" thickBot="1">
      <c r="A184" s="21" t="s">
        <v>189</v>
      </c>
      <c r="B184" s="32">
        <v>100</v>
      </c>
      <c r="C184" s="32">
        <f>B184*35%</f>
        <v>35</v>
      </c>
      <c r="D184" s="32">
        <f>B184*10%</f>
        <v>10</v>
      </c>
      <c r="E184" s="32"/>
      <c r="F184" s="32"/>
      <c r="G184" s="32"/>
      <c r="H184" s="32">
        <f>B184*40%</f>
        <v>40</v>
      </c>
      <c r="I184" s="32">
        <f>B184*10%</f>
        <v>10</v>
      </c>
      <c r="J184" s="32">
        <f>C184+D184+E184+F184+H184+I184</f>
        <v>95</v>
      </c>
      <c r="K184" s="32">
        <f t="shared" si="13"/>
        <v>5</v>
      </c>
      <c r="L184" s="56">
        <f>H184</f>
        <v>40</v>
      </c>
      <c r="M184" s="33">
        <f>H184</f>
        <v>40</v>
      </c>
      <c r="N184" s="24">
        <f>0</f>
        <v>0</v>
      </c>
      <c r="O184" s="8">
        <f t="shared" si="12"/>
        <v>555</v>
      </c>
    </row>
    <row r="185" spans="1:15" ht="15.75" thickBot="1">
      <c r="A185" s="21" t="s">
        <v>190</v>
      </c>
      <c r="B185" s="32">
        <v>100</v>
      </c>
      <c r="C185" s="32"/>
      <c r="D185" s="32">
        <f>B166*3%</f>
        <v>3</v>
      </c>
      <c r="E185" s="32"/>
      <c r="F185" s="32">
        <f>B185*1%</f>
        <v>1</v>
      </c>
      <c r="G185" s="32"/>
      <c r="H185" s="32">
        <f>B185*60%</f>
        <v>60</v>
      </c>
      <c r="I185" s="32">
        <f>B185*6%</f>
        <v>6</v>
      </c>
      <c r="J185" s="32">
        <f>C185+D185+E185+F185+H185+I185</f>
        <v>70</v>
      </c>
      <c r="K185" s="32">
        <f t="shared" si="13"/>
        <v>30</v>
      </c>
      <c r="L185" s="56">
        <f>H185</f>
        <v>60</v>
      </c>
      <c r="M185" s="33">
        <f>H185</f>
        <v>60</v>
      </c>
      <c r="N185" s="24">
        <f>0</f>
        <v>0</v>
      </c>
      <c r="O185" s="8">
        <f t="shared" si="12"/>
        <v>276</v>
      </c>
    </row>
    <row r="186" spans="1:15" ht="15.75" thickBot="1">
      <c r="A186" s="21" t="s">
        <v>191</v>
      </c>
      <c r="B186" s="32">
        <v>100</v>
      </c>
      <c r="C186" s="32">
        <f>B186*0.4%</f>
        <v>0.4</v>
      </c>
      <c r="D186" s="32">
        <f>B186*0.5%</f>
        <v>0.5</v>
      </c>
      <c r="E186" s="32">
        <f>0</f>
        <v>0</v>
      </c>
      <c r="F186" s="32">
        <f>B186*0.1%</f>
        <v>0.1</v>
      </c>
      <c r="G186" s="32">
        <f>0</f>
        <v>0</v>
      </c>
      <c r="H186" s="32">
        <f>B186*11%</f>
        <v>11</v>
      </c>
      <c r="I186" s="32">
        <f>B186*1%</f>
        <v>1</v>
      </c>
      <c r="J186" s="32">
        <f>C186+D186+F186+H186+I186</f>
        <v>13</v>
      </c>
      <c r="K186" s="32">
        <f t="shared" si="13"/>
        <v>87</v>
      </c>
      <c r="L186" s="56">
        <f>H186*50%+H186*50%*190%</f>
        <v>15.95</v>
      </c>
      <c r="M186" s="33">
        <f>H186*50%+H186*50%*140%</f>
        <v>13.2</v>
      </c>
      <c r="N186" s="24">
        <f>0</f>
        <v>0</v>
      </c>
      <c r="O186" s="8">
        <f t="shared" si="12"/>
        <v>53.6</v>
      </c>
    </row>
    <row r="187" spans="1:15" ht="15.75" thickBot="1">
      <c r="A187" s="21" t="s">
        <v>192</v>
      </c>
      <c r="B187" s="32">
        <v>100</v>
      </c>
      <c r="C187" s="32">
        <f>B187*0.1%</f>
        <v>0.1</v>
      </c>
      <c r="D187" s="32">
        <f>B187*0.7%</f>
        <v>0.7</v>
      </c>
      <c r="E187" s="32">
        <f>0</f>
        <v>0</v>
      </c>
      <c r="F187" s="32">
        <f>B187*0.2%</f>
        <v>0.2</v>
      </c>
      <c r="G187" s="32">
        <f>0</f>
        <v>0</v>
      </c>
      <c r="H187" s="32">
        <f>B187*9%</f>
        <v>9</v>
      </c>
      <c r="I187" s="32">
        <f>B187*5%</f>
        <v>5</v>
      </c>
      <c r="J187" s="32">
        <f>C187+D187+F187+H187+I187</f>
        <v>15</v>
      </c>
      <c r="K187" s="32">
        <f t="shared" si="13"/>
        <v>85</v>
      </c>
      <c r="L187" s="56">
        <f>H187*50%+H187*50%*190%</f>
        <v>13.049999999999999</v>
      </c>
      <c r="M187" s="33">
        <f>H187*50%+H187*50%*140%</f>
        <v>10.8</v>
      </c>
      <c r="N187" s="24">
        <f>0</f>
        <v>0</v>
      </c>
      <c r="O187" s="8">
        <f t="shared" si="12"/>
        <v>59.7</v>
      </c>
    </row>
    <row r="188" spans="1:15" ht="15.75" thickBot="1">
      <c r="A188" s="21" t="s">
        <v>193</v>
      </c>
      <c r="B188" s="32">
        <v>100</v>
      </c>
      <c r="C188" s="32">
        <f>B188*31%</f>
        <v>31</v>
      </c>
      <c r="D188" s="32">
        <f>B188*8.6%</f>
        <v>8.6</v>
      </c>
      <c r="E188" s="32">
        <f>B188*0.4%</f>
        <v>0.4</v>
      </c>
      <c r="F188" s="32">
        <f>B188*1%</f>
        <v>1</v>
      </c>
      <c r="G188" s="32">
        <f>SUM(D188:F188)</f>
        <v>10</v>
      </c>
      <c r="H188" s="32"/>
      <c r="I188" s="32"/>
      <c r="J188" s="32">
        <f>SUM(C188:F188)</f>
        <v>41</v>
      </c>
      <c r="K188" s="32">
        <f t="shared" si="13"/>
        <v>59</v>
      </c>
      <c r="L188" s="56">
        <f>E188</f>
        <v>0.4</v>
      </c>
      <c r="M188" s="33">
        <f>E188*16%</f>
        <v>0.064</v>
      </c>
      <c r="N188" s="24">
        <f>0</f>
        <v>0</v>
      </c>
      <c r="O188" s="8">
        <f t="shared" si="12"/>
        <v>315</v>
      </c>
    </row>
    <row r="189" spans="1:15" ht="15.75" thickBot="1">
      <c r="A189" s="21" t="s">
        <v>194</v>
      </c>
      <c r="B189" s="32">
        <v>100</v>
      </c>
      <c r="C189" s="32">
        <f>B189*0.5%</f>
        <v>0.5</v>
      </c>
      <c r="D189" s="32">
        <f>B189*1%</f>
        <v>1</v>
      </c>
      <c r="E189" s="32">
        <f>0</f>
        <v>0</v>
      </c>
      <c r="F189" s="32">
        <f>B189*0.5%</f>
        <v>0.5</v>
      </c>
      <c r="G189" s="32">
        <f>0</f>
        <v>0</v>
      </c>
      <c r="H189" s="32">
        <f>B189*4%</f>
        <v>4</v>
      </c>
      <c r="I189" s="32">
        <f>B189*2%</f>
        <v>2</v>
      </c>
      <c r="J189" s="32">
        <f>C189+D189+F189+H189+I189</f>
        <v>8</v>
      </c>
      <c r="K189" s="32">
        <f t="shared" si="13"/>
        <v>92</v>
      </c>
      <c r="L189" s="56">
        <f>H189*50%+H189*50%*190%</f>
        <v>5.8</v>
      </c>
      <c r="M189" s="33">
        <f>H189*50%+H189*50%*140%</f>
        <v>4.8</v>
      </c>
      <c r="N189" s="24">
        <f>0</f>
        <v>0</v>
      </c>
      <c r="O189" s="8">
        <f t="shared" si="12"/>
        <v>32.5</v>
      </c>
    </row>
    <row r="190" spans="1:15" ht="15.75" thickBot="1">
      <c r="A190" s="21" t="s">
        <v>195</v>
      </c>
      <c r="B190" s="32">
        <v>100</v>
      </c>
      <c r="C190" s="32">
        <f>B190*0.2%</f>
        <v>0.2</v>
      </c>
      <c r="D190" s="32">
        <f>B190*0.3%</f>
        <v>0.3</v>
      </c>
      <c r="E190" s="32">
        <f>0</f>
        <v>0</v>
      </c>
      <c r="F190" s="32">
        <f>B190*0.5%</f>
        <v>0.5</v>
      </c>
      <c r="G190" s="32">
        <f>0</f>
        <v>0</v>
      </c>
      <c r="H190" s="32">
        <f>B190*8%</f>
        <v>8</v>
      </c>
      <c r="I190" s="32">
        <f>B190*3%</f>
        <v>3</v>
      </c>
      <c r="J190" s="32">
        <f>C190+D190+F190+H190+I190</f>
        <v>12</v>
      </c>
      <c r="K190" s="32">
        <f t="shared" si="13"/>
        <v>88</v>
      </c>
      <c r="L190" s="56">
        <f>H190*50%+H190*50%*190%</f>
        <v>11.6</v>
      </c>
      <c r="M190" s="33">
        <f>H190*50%+H190*50%*140%</f>
        <v>9.6</v>
      </c>
      <c r="N190" s="24">
        <f>0</f>
        <v>0</v>
      </c>
      <c r="O190" s="8">
        <f t="shared" si="12"/>
        <v>47</v>
      </c>
    </row>
    <row r="191" spans="1:15" ht="15.75" thickBot="1">
      <c r="A191" s="21" t="s">
        <v>196</v>
      </c>
      <c r="B191" s="32">
        <v>100</v>
      </c>
      <c r="C191" s="32"/>
      <c r="D191" s="32">
        <f>B191*0.2%</f>
        <v>0.2</v>
      </c>
      <c r="E191" s="32"/>
      <c r="F191" s="32"/>
      <c r="G191" s="32"/>
      <c r="H191" s="32">
        <f>B191*12%</f>
        <v>12</v>
      </c>
      <c r="I191" s="32"/>
      <c r="J191" s="32">
        <f>D191+H191</f>
        <v>12.2</v>
      </c>
      <c r="K191" s="32">
        <f t="shared" si="13"/>
        <v>87.8</v>
      </c>
      <c r="L191" s="56">
        <f>H191+B191*16%*250%</f>
        <v>52</v>
      </c>
      <c r="M191" s="33">
        <f>H191</f>
        <v>12</v>
      </c>
      <c r="N191" s="24">
        <f>B191*16%</f>
        <v>16</v>
      </c>
      <c r="O191" s="8">
        <f t="shared" si="12"/>
        <v>160.8</v>
      </c>
    </row>
    <row r="192" spans="1:15" ht="15.75" thickBot="1">
      <c r="A192" s="21" t="s">
        <v>197</v>
      </c>
      <c r="B192" s="32">
        <v>100</v>
      </c>
      <c r="C192" s="32"/>
      <c r="D192" s="32"/>
      <c r="E192" s="32"/>
      <c r="F192" s="32"/>
      <c r="G192" s="32"/>
      <c r="H192" s="32">
        <f>B192*94%</f>
        <v>94</v>
      </c>
      <c r="I192" s="32">
        <f>B192*6%</f>
        <v>6</v>
      </c>
      <c r="J192" s="32">
        <f>B192</f>
        <v>100</v>
      </c>
      <c r="K192" s="32">
        <f t="shared" si="13"/>
        <v>0</v>
      </c>
      <c r="L192" s="56">
        <f>B192*90%+B192*10%*180%</f>
        <v>108</v>
      </c>
      <c r="M192" s="33">
        <f>B192*90%+B192*10%*75%</f>
        <v>97.5</v>
      </c>
      <c r="N192" s="24">
        <f>0</f>
        <v>0</v>
      </c>
      <c r="O192" s="8">
        <f t="shared" si="12"/>
        <v>400</v>
      </c>
    </row>
    <row r="193" spans="1:15" ht="15.75" thickBot="1">
      <c r="A193" s="21" t="s">
        <v>198</v>
      </c>
      <c r="B193" s="32">
        <v>100</v>
      </c>
      <c r="C193" s="32"/>
      <c r="D193" s="32">
        <f>B193</f>
        <v>100</v>
      </c>
      <c r="E193" s="32"/>
      <c r="F193" s="32"/>
      <c r="G193" s="32"/>
      <c r="H193" s="32"/>
      <c r="I193" s="32"/>
      <c r="J193" s="32">
        <f>B193</f>
        <v>100</v>
      </c>
      <c r="K193" s="32">
        <f t="shared" si="13"/>
        <v>0</v>
      </c>
      <c r="L193" s="56"/>
      <c r="M193" s="33"/>
      <c r="N193" s="24">
        <f>0</f>
        <v>0</v>
      </c>
      <c r="O193" s="8">
        <f t="shared" si="12"/>
        <v>400</v>
      </c>
    </row>
    <row r="194" spans="1:15" ht="15.75" thickBot="1">
      <c r="A194" s="21" t="s">
        <v>199</v>
      </c>
      <c r="B194" s="32">
        <v>100</v>
      </c>
      <c r="C194" s="32"/>
      <c r="D194" s="32">
        <f>B194*25%</f>
        <v>25</v>
      </c>
      <c r="E194" s="32"/>
      <c r="F194" s="32"/>
      <c r="G194" s="32"/>
      <c r="H194" s="32">
        <f>B194*75%</f>
        <v>75</v>
      </c>
      <c r="I194" s="32"/>
      <c r="J194" s="32">
        <f>B194</f>
        <v>100</v>
      </c>
      <c r="K194" s="32">
        <f t="shared" si="13"/>
        <v>0</v>
      </c>
      <c r="L194" s="56">
        <f>B194*25%*180%+B194*25%*38%*180%+B194*25%*18%*180%</f>
        <v>70.2</v>
      </c>
      <c r="M194" s="33">
        <f>B194*25%*75%+B194*25%*38%*75%+B194*25%*19%*75%</f>
        <v>29.4375</v>
      </c>
      <c r="N194" s="24">
        <f>0</f>
        <v>0</v>
      </c>
      <c r="O194" s="8">
        <f t="shared" si="12"/>
        <v>400</v>
      </c>
    </row>
    <row r="195" spans="1:15" ht="15.75" thickBot="1">
      <c r="A195" s="21" t="s">
        <v>200</v>
      </c>
      <c r="B195" s="32">
        <v>100</v>
      </c>
      <c r="C195" s="32">
        <f>B195*0.1%</f>
        <v>0.1</v>
      </c>
      <c r="D195" s="32">
        <f>B195*0.6%</f>
        <v>0.6</v>
      </c>
      <c r="E195" s="32">
        <f>0</f>
        <v>0</v>
      </c>
      <c r="F195" s="32">
        <f>B195*0.3%</f>
        <v>0.3</v>
      </c>
      <c r="G195" s="32">
        <f>0</f>
        <v>0</v>
      </c>
      <c r="H195" s="32">
        <f>B195*12%</f>
        <v>12</v>
      </c>
      <c r="I195" s="32">
        <f>B195*6%</f>
        <v>6</v>
      </c>
      <c r="J195" s="32">
        <f>C195+D195+F195+H195+I195</f>
        <v>19</v>
      </c>
      <c r="K195" s="32">
        <f t="shared" si="13"/>
        <v>81</v>
      </c>
      <c r="L195" s="56">
        <f>H195*50%+H195*50%*190%</f>
        <v>17.4</v>
      </c>
      <c r="M195" s="33">
        <f>H195*50%+H195*50%*140%</f>
        <v>14.399999999999999</v>
      </c>
      <c r="N195" s="24">
        <f>0</f>
        <v>0</v>
      </c>
      <c r="O195" s="8">
        <f t="shared" si="12"/>
        <v>75.3</v>
      </c>
    </row>
    <row r="196" spans="1:15" ht="15.75" thickBot="1">
      <c r="A196" s="21" t="s">
        <v>201</v>
      </c>
      <c r="B196" s="32">
        <v>100</v>
      </c>
      <c r="C196" s="32">
        <f>B196*25%</f>
        <v>25</v>
      </c>
      <c r="D196" s="32">
        <f>B196*8.5%</f>
        <v>8.5</v>
      </c>
      <c r="E196" s="32">
        <f>B196*3.2%</f>
        <v>3.2</v>
      </c>
      <c r="F196" s="32">
        <f>B196*0.7%</f>
        <v>0.7</v>
      </c>
      <c r="G196" s="32">
        <f>D196+F196+E196</f>
        <v>12.399999999999999</v>
      </c>
      <c r="H196" s="32"/>
      <c r="I196" s="32"/>
      <c r="J196" s="32">
        <f>G196+C196</f>
        <v>37.4</v>
      </c>
      <c r="K196" s="32">
        <f t="shared" si="13"/>
        <v>62.6</v>
      </c>
      <c r="L196" s="56">
        <f>E196</f>
        <v>3.2</v>
      </c>
      <c r="M196" s="33">
        <f>E196*16%</f>
        <v>0.512</v>
      </c>
      <c r="N196" s="24">
        <f>0</f>
        <v>0</v>
      </c>
      <c r="O196" s="8">
        <f t="shared" si="12"/>
        <v>271.8</v>
      </c>
    </row>
    <row r="197" spans="1:15" ht="15.75" thickBot="1">
      <c r="A197" s="37" t="s">
        <v>202</v>
      </c>
      <c r="B197" s="41">
        <v>100</v>
      </c>
      <c r="C197" s="41">
        <f>B197*16%</f>
        <v>16</v>
      </c>
      <c r="D197" s="41">
        <f>G197*36%</f>
        <v>6.12</v>
      </c>
      <c r="E197" s="41">
        <f>G197*54%</f>
        <v>9.18</v>
      </c>
      <c r="F197" s="41">
        <f>G197*10%</f>
        <v>1.7000000000000002</v>
      </c>
      <c r="G197" s="41">
        <f>B197*17%</f>
        <v>17</v>
      </c>
      <c r="H197" s="41">
        <f>B197*25%</f>
        <v>25</v>
      </c>
      <c r="I197" s="41"/>
      <c r="J197" s="41">
        <f>H197+G197+C197</f>
        <v>58</v>
      </c>
      <c r="K197" s="41">
        <f t="shared" si="13"/>
        <v>42</v>
      </c>
      <c r="L197" s="59">
        <f>E197+H197</f>
        <v>34.18</v>
      </c>
      <c r="M197" s="28">
        <f>E197*16%+H197</f>
        <v>26.4688</v>
      </c>
      <c r="N197" s="24">
        <f>0</f>
        <v>0</v>
      </c>
      <c r="O197" s="8">
        <f t="shared" si="12"/>
        <v>305.2</v>
      </c>
    </row>
    <row r="198" spans="1:15" ht="15.75" thickBot="1">
      <c r="A198" s="9" t="s">
        <v>203</v>
      </c>
      <c r="B198" s="22">
        <v>100</v>
      </c>
      <c r="C198" s="11">
        <f>B198*8%</f>
        <v>8</v>
      </c>
      <c r="D198" s="11">
        <f>B198*2.5%</f>
        <v>2.5</v>
      </c>
      <c r="E198" s="11">
        <f>B198*4.5%</f>
        <v>4.5</v>
      </c>
      <c r="F198" s="11">
        <f>B198*1%</f>
        <v>1</v>
      </c>
      <c r="G198" s="11">
        <f>B198*8%</f>
        <v>8</v>
      </c>
      <c r="H198" s="11"/>
      <c r="I198" s="11"/>
      <c r="J198" s="11">
        <f>B198*16%</f>
        <v>16</v>
      </c>
      <c r="K198" s="11">
        <f t="shared" si="13"/>
        <v>84</v>
      </c>
      <c r="L198" s="57">
        <f>E198</f>
        <v>4.5</v>
      </c>
      <c r="M198" s="23">
        <f>E198*16%</f>
        <v>0.72</v>
      </c>
      <c r="N198" s="24">
        <f>0</f>
        <v>0</v>
      </c>
      <c r="O198" s="8">
        <f t="shared" si="12"/>
        <v>100</v>
      </c>
    </row>
    <row r="199" spans="1:15" ht="15.75" thickBot="1">
      <c r="A199" s="21" t="s">
        <v>204</v>
      </c>
      <c r="B199" s="32">
        <v>100</v>
      </c>
      <c r="C199" s="32"/>
      <c r="D199" s="32"/>
      <c r="E199" s="32"/>
      <c r="F199" s="32"/>
      <c r="G199" s="32"/>
      <c r="H199" s="32">
        <f>100%*B199</f>
        <v>100</v>
      </c>
      <c r="I199" s="32"/>
      <c r="J199" s="32">
        <f aca="true" t="shared" si="14" ref="J199:J204">C199+D199+E199+F199+H199+I199</f>
        <v>100</v>
      </c>
      <c r="K199" s="32">
        <f t="shared" si="13"/>
        <v>0</v>
      </c>
      <c r="L199" s="56">
        <f>B199</f>
        <v>100</v>
      </c>
      <c r="M199" s="33">
        <f>B199</f>
        <v>100</v>
      </c>
      <c r="N199" s="24">
        <f>0</f>
        <v>0</v>
      </c>
      <c r="O199" s="8">
        <f t="shared" si="12"/>
        <v>400</v>
      </c>
    </row>
    <row r="200" spans="1:15" ht="15.75" thickBot="1">
      <c r="A200" s="21" t="s">
        <v>205</v>
      </c>
      <c r="B200" s="32">
        <v>100</v>
      </c>
      <c r="C200" s="32"/>
      <c r="D200" s="32"/>
      <c r="E200" s="32"/>
      <c r="F200" s="32"/>
      <c r="G200" s="32"/>
      <c r="H200" s="32">
        <f>80%*B200</f>
        <v>80</v>
      </c>
      <c r="I200" s="32"/>
      <c r="J200" s="32">
        <f t="shared" si="14"/>
        <v>80</v>
      </c>
      <c r="K200" s="32">
        <f t="shared" si="13"/>
        <v>20</v>
      </c>
      <c r="L200" s="56">
        <f>H200*42%*180%</f>
        <v>60.480000000000004</v>
      </c>
      <c r="M200" s="33">
        <f>B200*42%*75%</f>
        <v>31.5</v>
      </c>
      <c r="N200" s="24">
        <f>0</f>
        <v>0</v>
      </c>
      <c r="O200" s="8">
        <f t="shared" si="12"/>
        <v>320</v>
      </c>
    </row>
    <row r="201" spans="1:15" ht="15.75" thickBot="1">
      <c r="A201" s="9" t="s">
        <v>206</v>
      </c>
      <c r="B201" s="32">
        <v>100</v>
      </c>
      <c r="C201" s="32"/>
      <c r="D201" s="32"/>
      <c r="E201" s="32"/>
      <c r="F201" s="32"/>
      <c r="G201" s="32"/>
      <c r="H201" s="32">
        <f>80%*B201</f>
        <v>80</v>
      </c>
      <c r="I201" s="32"/>
      <c r="J201" s="32">
        <f t="shared" si="14"/>
        <v>80</v>
      </c>
      <c r="K201" s="32">
        <f t="shared" si="13"/>
        <v>20</v>
      </c>
      <c r="L201" s="56">
        <f>H201*62%*180%</f>
        <v>89.28</v>
      </c>
      <c r="M201" s="33">
        <f>B201*62%*75%</f>
        <v>46.5</v>
      </c>
      <c r="N201" s="24">
        <f>0</f>
        <v>0</v>
      </c>
      <c r="O201" s="8">
        <f aca="true" t="shared" si="15" ref="O201:O264">C201*9+D201*4+E201*4+H201*4+I201*4+N201*7</f>
        <v>320</v>
      </c>
    </row>
    <row r="202" spans="1:15" ht="15.75" thickBot="1">
      <c r="A202" s="21" t="s">
        <v>207</v>
      </c>
      <c r="B202" s="32">
        <v>100</v>
      </c>
      <c r="C202" s="32"/>
      <c r="D202" s="32"/>
      <c r="E202" s="32"/>
      <c r="F202" s="32"/>
      <c r="G202" s="32"/>
      <c r="H202" s="32">
        <f>80%*B202</f>
        <v>80</v>
      </c>
      <c r="I202" s="32"/>
      <c r="J202" s="32">
        <f t="shared" si="14"/>
        <v>80</v>
      </c>
      <c r="K202" s="32">
        <f t="shared" si="13"/>
        <v>20</v>
      </c>
      <c r="L202" s="56">
        <f>H202*74%*180%</f>
        <v>106.56</v>
      </c>
      <c r="M202" s="33">
        <f>B202*74%*75%</f>
        <v>55.5</v>
      </c>
      <c r="N202" s="24">
        <f>0</f>
        <v>0</v>
      </c>
      <c r="O202" s="8">
        <f t="shared" si="15"/>
        <v>320</v>
      </c>
    </row>
    <row r="203" spans="1:15" ht="15.75" thickBot="1">
      <c r="A203" s="21" t="s">
        <v>208</v>
      </c>
      <c r="B203" s="32">
        <v>100</v>
      </c>
      <c r="C203" s="32"/>
      <c r="D203" s="32"/>
      <c r="E203" s="32"/>
      <c r="F203" s="32"/>
      <c r="G203" s="32"/>
      <c r="H203" s="32">
        <f>95%*B203</f>
        <v>95</v>
      </c>
      <c r="I203" s="32"/>
      <c r="J203" s="32">
        <f t="shared" si="14"/>
        <v>95</v>
      </c>
      <c r="K203" s="32">
        <f t="shared" si="13"/>
        <v>5</v>
      </c>
      <c r="L203" s="56">
        <f>H203*30%*180%</f>
        <v>51.300000000000004</v>
      </c>
      <c r="M203" s="33">
        <f>B203*30%*75%</f>
        <v>22.5</v>
      </c>
      <c r="N203" s="24">
        <f>0</f>
        <v>0</v>
      </c>
      <c r="O203" s="8">
        <f t="shared" si="15"/>
        <v>380</v>
      </c>
    </row>
    <row r="204" spans="1:15" ht="15.75" thickBot="1">
      <c r="A204" s="21" t="s">
        <v>209</v>
      </c>
      <c r="B204" s="32">
        <v>100</v>
      </c>
      <c r="C204" s="32"/>
      <c r="D204" s="32"/>
      <c r="E204" s="32"/>
      <c r="F204" s="32"/>
      <c r="G204" s="32"/>
      <c r="H204" s="32">
        <f>95%*B204</f>
        <v>95</v>
      </c>
      <c r="I204" s="32"/>
      <c r="J204" s="32">
        <f t="shared" si="14"/>
        <v>95</v>
      </c>
      <c r="K204" s="32">
        <f t="shared" si="13"/>
        <v>5</v>
      </c>
      <c r="L204" s="56">
        <f>H204*38%*180%</f>
        <v>64.98</v>
      </c>
      <c r="M204" s="33">
        <f>B204*38%*75%</f>
        <v>28.5</v>
      </c>
      <c r="N204" s="24">
        <f>0</f>
        <v>0</v>
      </c>
      <c r="O204" s="8">
        <f t="shared" si="15"/>
        <v>380</v>
      </c>
    </row>
    <row r="205" spans="1:15" ht="15.75" thickBot="1">
      <c r="A205" s="21" t="s">
        <v>210</v>
      </c>
      <c r="B205" s="32">
        <v>100</v>
      </c>
      <c r="C205" s="32">
        <f>B205*0.2%</f>
        <v>0.2</v>
      </c>
      <c r="D205" s="32">
        <f>B205*2.3%</f>
        <v>2.3</v>
      </c>
      <c r="E205" s="32">
        <f>0</f>
        <v>0</v>
      </c>
      <c r="F205" s="32">
        <f>B205*0.7%</f>
        <v>0.7</v>
      </c>
      <c r="G205" s="32">
        <f>0</f>
        <v>0</v>
      </c>
      <c r="H205" s="32">
        <f>B205*3%</f>
        <v>3</v>
      </c>
      <c r="I205" s="32">
        <f>B205*12%</f>
        <v>12</v>
      </c>
      <c r="J205" s="32">
        <f>I205+H205+F205+D205+C205</f>
        <v>18.2</v>
      </c>
      <c r="K205" s="32">
        <f t="shared" si="13"/>
        <v>81.8</v>
      </c>
      <c r="L205" s="56">
        <f>H205*50%+H205*50%*190%</f>
        <v>4.35</v>
      </c>
      <c r="M205" s="33">
        <f>H205*50%+H205*50%*140%</f>
        <v>3.5999999999999996</v>
      </c>
      <c r="N205" s="24">
        <f>0</f>
        <v>0</v>
      </c>
      <c r="O205" s="8">
        <f t="shared" si="15"/>
        <v>71</v>
      </c>
    </row>
    <row r="206" spans="1:15" ht="15.75" thickBot="1">
      <c r="A206" s="21" t="s">
        <v>211</v>
      </c>
      <c r="B206" s="32">
        <v>100</v>
      </c>
      <c r="C206" s="32">
        <f>B206*0.2%</f>
        <v>0.2</v>
      </c>
      <c r="D206" s="32">
        <f>B206*0.6%</f>
        <v>0.6</v>
      </c>
      <c r="E206" s="32">
        <f>0</f>
        <v>0</v>
      </c>
      <c r="F206" s="32">
        <f>B206*0.2%</f>
        <v>0.2</v>
      </c>
      <c r="G206" s="32">
        <f>0</f>
        <v>0</v>
      </c>
      <c r="H206" s="32">
        <f>B206*15%</f>
        <v>15</v>
      </c>
      <c r="I206" s="32">
        <f>B206*2%</f>
        <v>2</v>
      </c>
      <c r="J206" s="32">
        <f>C206+D206+F206+H206+I206</f>
        <v>18</v>
      </c>
      <c r="K206" s="32">
        <f t="shared" si="13"/>
        <v>82</v>
      </c>
      <c r="L206" s="56">
        <f>H206*50%+H206*50%*190%</f>
        <v>21.75</v>
      </c>
      <c r="M206" s="33">
        <f>H206*50%+H206*50%*140%</f>
        <v>18</v>
      </c>
      <c r="N206" s="24">
        <f>0</f>
        <v>0</v>
      </c>
      <c r="O206" s="8">
        <f t="shared" si="15"/>
        <v>72.2</v>
      </c>
    </row>
    <row r="207" spans="1:15" ht="15.75" thickBot="1">
      <c r="A207" s="21" t="s">
        <v>212</v>
      </c>
      <c r="B207" s="32">
        <v>100</v>
      </c>
      <c r="C207" s="32">
        <f>B207*27%</f>
        <v>27</v>
      </c>
      <c r="D207" s="32">
        <f>B207*11%</f>
        <v>11</v>
      </c>
      <c r="E207" s="32"/>
      <c r="F207" s="32"/>
      <c r="G207" s="32"/>
      <c r="H207" s="32">
        <f>B207*52%</f>
        <v>52</v>
      </c>
      <c r="I207" s="32">
        <f>B207*3%</f>
        <v>3</v>
      </c>
      <c r="J207" s="32">
        <f>C207+D207+E207+F207+H207+I207</f>
        <v>93</v>
      </c>
      <c r="K207" s="32">
        <f t="shared" si="13"/>
        <v>7</v>
      </c>
      <c r="L207" s="56">
        <f>H207</f>
        <v>52</v>
      </c>
      <c r="M207" s="33">
        <f>H207</f>
        <v>52</v>
      </c>
      <c r="N207" s="24">
        <f>0</f>
        <v>0</v>
      </c>
      <c r="O207" s="8">
        <f t="shared" si="15"/>
        <v>507</v>
      </c>
    </row>
    <row r="208" spans="1:15" ht="15.75" thickBot="1">
      <c r="A208" s="9" t="s">
        <v>213</v>
      </c>
      <c r="B208" s="10">
        <v>100</v>
      </c>
      <c r="C208" s="11">
        <f>28%*B208</f>
        <v>28.000000000000004</v>
      </c>
      <c r="D208" s="11">
        <f>B208*16%</f>
        <v>16</v>
      </c>
      <c r="E208" s="11"/>
      <c r="F208" s="11">
        <f>B208*1%</f>
        <v>1</v>
      </c>
      <c r="G208" s="11"/>
      <c r="H208" s="11"/>
      <c r="I208" s="42"/>
      <c r="J208" s="11">
        <f>C208+D208+E208+F208+H208+I208</f>
        <v>45</v>
      </c>
      <c r="K208" s="11">
        <f t="shared" si="13"/>
        <v>55</v>
      </c>
      <c r="L208" s="57"/>
      <c r="M208" s="12"/>
      <c r="N208" s="24">
        <f>0</f>
        <v>0</v>
      </c>
      <c r="O208" s="8">
        <f t="shared" si="15"/>
        <v>316</v>
      </c>
    </row>
    <row r="209" spans="1:15" ht="15.75" thickBot="1">
      <c r="A209" s="9" t="s">
        <v>214</v>
      </c>
      <c r="B209" s="10">
        <v>100</v>
      </c>
      <c r="C209" s="11">
        <f>B209*41.2%</f>
        <v>41.2</v>
      </c>
      <c r="D209" s="11">
        <f>B209*47%</f>
        <v>47</v>
      </c>
      <c r="E209" s="11"/>
      <c r="F209" s="11">
        <v>3.8</v>
      </c>
      <c r="G209" s="11"/>
      <c r="H209" s="11">
        <f>B209*4%</f>
        <v>4</v>
      </c>
      <c r="I209" s="42"/>
      <c r="J209" s="11">
        <f>I209+F209+D209+C209</f>
        <v>92</v>
      </c>
      <c r="K209" s="11">
        <f aca="true" t="shared" si="16" ref="K209:K268">B209-J209</f>
        <v>8</v>
      </c>
      <c r="L209" s="57">
        <f>H209</f>
        <v>4</v>
      </c>
      <c r="M209" s="12">
        <f>H209</f>
        <v>4</v>
      </c>
      <c r="N209" s="24">
        <f>0</f>
        <v>0</v>
      </c>
      <c r="O209" s="8">
        <f t="shared" si="15"/>
        <v>574.8</v>
      </c>
    </row>
    <row r="210" spans="1:15" ht="15.75" thickBot="1">
      <c r="A210" s="9" t="s">
        <v>215</v>
      </c>
      <c r="B210" s="10">
        <v>100</v>
      </c>
      <c r="C210" s="11">
        <f>B210*28%*50%</f>
        <v>14.000000000000002</v>
      </c>
      <c r="D210" s="11">
        <f>B210*16%*50%</f>
        <v>8</v>
      </c>
      <c r="E210" s="11"/>
      <c r="F210" s="11">
        <f>B210*1%*50%</f>
        <v>0.5</v>
      </c>
      <c r="G210" s="11"/>
      <c r="H210" s="11">
        <f>B210*50%</f>
        <v>50</v>
      </c>
      <c r="I210" s="42"/>
      <c r="J210" s="11">
        <f>H210+F210+D210+C210</f>
        <v>72.5</v>
      </c>
      <c r="K210" s="11">
        <f t="shared" si="16"/>
        <v>27.5</v>
      </c>
      <c r="L210" s="57">
        <f>H210</f>
        <v>50</v>
      </c>
      <c r="M210" s="12">
        <f>B210*50%</f>
        <v>50</v>
      </c>
      <c r="N210" s="24">
        <f>0</f>
        <v>0</v>
      </c>
      <c r="O210" s="8">
        <f t="shared" si="15"/>
        <v>358</v>
      </c>
    </row>
    <row r="211" spans="1:15" ht="15.75" thickBot="1">
      <c r="A211" s="21" t="s">
        <v>216</v>
      </c>
      <c r="B211" s="32">
        <v>100</v>
      </c>
      <c r="C211" s="32">
        <f>B211*0.5%</f>
        <v>0.5</v>
      </c>
      <c r="D211" s="32">
        <f>B211*0.7%</f>
        <v>0.7</v>
      </c>
      <c r="E211" s="32">
        <f>0</f>
        <v>0</v>
      </c>
      <c r="F211" s="32">
        <f>B211*0.3%</f>
        <v>0.3</v>
      </c>
      <c r="G211" s="32">
        <f>0</f>
        <v>0</v>
      </c>
      <c r="H211" s="32">
        <f>B211*16.5%</f>
        <v>16.5</v>
      </c>
      <c r="I211" s="32">
        <f>B211*2%</f>
        <v>2</v>
      </c>
      <c r="J211" s="32">
        <f>C211+D211+F211+H211+I211</f>
        <v>20</v>
      </c>
      <c r="K211" s="32">
        <f t="shared" si="16"/>
        <v>80</v>
      </c>
      <c r="L211" s="56">
        <f>H211*50%+H211*50%*190%</f>
        <v>23.924999999999997</v>
      </c>
      <c r="M211" s="33">
        <f>H211*50%+H211*50%*140%</f>
        <v>19.799999999999997</v>
      </c>
      <c r="N211" s="24">
        <f>0</f>
        <v>0</v>
      </c>
      <c r="O211" s="8">
        <f t="shared" si="15"/>
        <v>81.3</v>
      </c>
    </row>
    <row r="212" spans="1:15" ht="15.75" thickBot="1">
      <c r="A212" s="21" t="s">
        <v>217</v>
      </c>
      <c r="B212" s="32">
        <v>100</v>
      </c>
      <c r="C212" s="32"/>
      <c r="D212" s="32"/>
      <c r="E212" s="32"/>
      <c r="F212" s="32">
        <f>B212*1.9%</f>
        <v>1.9</v>
      </c>
      <c r="G212" s="32"/>
      <c r="H212" s="32">
        <f>B212*65%</f>
        <v>65</v>
      </c>
      <c r="I212" s="32">
        <f>B212*0.5%</f>
        <v>0.5</v>
      </c>
      <c r="J212" s="32">
        <f>C212+H212+I212+D212+F209</f>
        <v>69.3</v>
      </c>
      <c r="K212" s="32">
        <f t="shared" si="16"/>
        <v>30.700000000000003</v>
      </c>
      <c r="L212" s="56">
        <f>B212*65%*75%+B212*65%*25%*46%*180%</f>
        <v>62.205</v>
      </c>
      <c r="M212" s="33">
        <f>H212*75%+H212*25%*46%*75%</f>
        <v>54.35625</v>
      </c>
      <c r="N212" s="24">
        <f>0</f>
        <v>0</v>
      </c>
      <c r="O212" s="8">
        <f t="shared" si="15"/>
        <v>262</v>
      </c>
    </row>
    <row r="213" spans="1:15" ht="15.75" thickBot="1">
      <c r="A213" s="21" t="s">
        <v>218</v>
      </c>
      <c r="B213" s="32">
        <v>100</v>
      </c>
      <c r="C213" s="32"/>
      <c r="D213" s="32"/>
      <c r="E213" s="32"/>
      <c r="F213" s="32"/>
      <c r="G213" s="32"/>
      <c r="H213" s="32">
        <f>B213*66%</f>
        <v>66</v>
      </c>
      <c r="I213" s="32">
        <f>B213*1%</f>
        <v>1</v>
      </c>
      <c r="J213" s="32">
        <f>C213+D213+E213+F213+H213+I213</f>
        <v>67</v>
      </c>
      <c r="K213" s="32">
        <f t="shared" si="16"/>
        <v>33</v>
      </c>
      <c r="L213" s="56">
        <f>B213*51%+B213*16%*42%*180%</f>
        <v>63.096000000000004</v>
      </c>
      <c r="M213" s="33">
        <f>B213*51%+B213*16%*42%*75%</f>
        <v>56.04</v>
      </c>
      <c r="N213" s="24">
        <f>0</f>
        <v>0</v>
      </c>
      <c r="O213" s="8">
        <f t="shared" si="15"/>
        <v>268</v>
      </c>
    </row>
    <row r="214" spans="1:15" ht="15.75" thickBot="1">
      <c r="A214" s="9" t="s">
        <v>219</v>
      </c>
      <c r="B214" s="10">
        <v>100</v>
      </c>
      <c r="C214" s="11"/>
      <c r="D214" s="11"/>
      <c r="E214" s="42"/>
      <c r="F214" s="42"/>
      <c r="G214" s="42"/>
      <c r="H214" s="11">
        <f>B214*65%</f>
        <v>65</v>
      </c>
      <c r="I214" s="42">
        <f>B214*4%</f>
        <v>4</v>
      </c>
      <c r="J214" s="11">
        <f>C214+H214+I214+D214</f>
        <v>69</v>
      </c>
      <c r="K214" s="11">
        <f t="shared" si="16"/>
        <v>31</v>
      </c>
      <c r="L214" s="57">
        <f>H214+E214</f>
        <v>65</v>
      </c>
      <c r="M214" s="12">
        <f>H214+E214</f>
        <v>65</v>
      </c>
      <c r="N214" s="24">
        <f>0</f>
        <v>0</v>
      </c>
      <c r="O214" s="8">
        <f t="shared" si="15"/>
        <v>276</v>
      </c>
    </row>
    <row r="215" spans="1:15" ht="15.75" thickBot="1">
      <c r="A215" s="21" t="s">
        <v>220</v>
      </c>
      <c r="B215" s="32">
        <v>100</v>
      </c>
      <c r="C215" s="32"/>
      <c r="D215" s="32"/>
      <c r="E215" s="32"/>
      <c r="F215" s="32"/>
      <c r="G215" s="32"/>
      <c r="H215" s="32">
        <f>B215*67%</f>
        <v>67</v>
      </c>
      <c r="I215" s="32">
        <f>B215*2%</f>
        <v>2</v>
      </c>
      <c r="J215" s="32">
        <f>C215+H215+I215+D215</f>
        <v>69</v>
      </c>
      <c r="K215" s="32">
        <f t="shared" si="16"/>
        <v>31</v>
      </c>
      <c r="L215" s="56">
        <f>B215*67%</f>
        <v>67</v>
      </c>
      <c r="M215" s="33">
        <f>H215</f>
        <v>67</v>
      </c>
      <c r="N215" s="24">
        <f>0</f>
        <v>0</v>
      </c>
      <c r="O215" s="8">
        <f t="shared" si="15"/>
        <v>276</v>
      </c>
    </row>
    <row r="216" spans="1:15" ht="15.75" thickBot="1">
      <c r="A216" s="21" t="s">
        <v>221</v>
      </c>
      <c r="B216" s="32">
        <v>100</v>
      </c>
      <c r="C216" s="32"/>
      <c r="D216" s="32"/>
      <c r="E216" s="32"/>
      <c r="F216" s="32"/>
      <c r="G216" s="32"/>
      <c r="H216" s="32">
        <v>0</v>
      </c>
      <c r="I216" s="32"/>
      <c r="J216" s="32">
        <f>H216</f>
        <v>0</v>
      </c>
      <c r="K216" s="32">
        <f t="shared" si="16"/>
        <v>100</v>
      </c>
      <c r="L216" s="56">
        <f>B216*40%*250%+H216</f>
        <v>100</v>
      </c>
      <c r="M216" s="33">
        <f>H216</f>
        <v>0</v>
      </c>
      <c r="N216" s="24">
        <f>B216*40%</f>
        <v>40</v>
      </c>
      <c r="O216" s="8">
        <f t="shared" si="15"/>
        <v>280</v>
      </c>
    </row>
    <row r="217" spans="1:15" ht="15.75" thickBot="1">
      <c r="A217" s="21" t="s">
        <v>222</v>
      </c>
      <c r="B217" s="32">
        <v>100</v>
      </c>
      <c r="C217" s="32"/>
      <c r="D217" s="32">
        <f>G217*33%</f>
        <v>24.09</v>
      </c>
      <c r="E217" s="32">
        <f>G217*60%</f>
        <v>43.8</v>
      </c>
      <c r="F217" s="32">
        <f>G217*7%</f>
        <v>5.11</v>
      </c>
      <c r="G217" s="32">
        <f>B217*73%</f>
        <v>73</v>
      </c>
      <c r="H217" s="32">
        <f>B217*9.5%</f>
        <v>9.5</v>
      </c>
      <c r="I217" s="32">
        <f>B217*10.5%</f>
        <v>10.5</v>
      </c>
      <c r="J217" s="32">
        <f>C217+H217+I217+G217</f>
        <v>93</v>
      </c>
      <c r="K217" s="32">
        <f t="shared" si="16"/>
        <v>7</v>
      </c>
      <c r="L217" s="56">
        <f>H217+E217</f>
        <v>53.3</v>
      </c>
      <c r="M217" s="33">
        <f>H217+E217*16%</f>
        <v>16.508</v>
      </c>
      <c r="N217" s="24">
        <f>0</f>
        <v>0</v>
      </c>
      <c r="O217" s="8">
        <f t="shared" si="15"/>
        <v>351.56</v>
      </c>
    </row>
    <row r="218" spans="1:15" ht="15.75" thickBot="1">
      <c r="A218" s="21" t="s">
        <v>223</v>
      </c>
      <c r="B218" s="32">
        <v>100</v>
      </c>
      <c r="C218" s="32"/>
      <c r="D218" s="32">
        <f>G218*36%</f>
        <v>4.68</v>
      </c>
      <c r="E218" s="32">
        <f>G218*54%</f>
        <v>7.0200000000000005</v>
      </c>
      <c r="F218" s="32">
        <f>G218*10%</f>
        <v>1.3</v>
      </c>
      <c r="G218" s="32">
        <f>B218*13%</f>
        <v>13</v>
      </c>
      <c r="H218" s="32">
        <f>B218*81.7%</f>
        <v>81.7</v>
      </c>
      <c r="I218" s="32">
        <f>B218*4.3%</f>
        <v>4.3</v>
      </c>
      <c r="J218" s="32">
        <f>B218*99%</f>
        <v>99</v>
      </c>
      <c r="K218" s="32">
        <f t="shared" si="16"/>
        <v>1</v>
      </c>
      <c r="L218" s="56">
        <f>H218*29%*180%</f>
        <v>42.6474</v>
      </c>
      <c r="M218" s="33">
        <f>H218*29%*75%</f>
        <v>17.76975</v>
      </c>
      <c r="N218" s="24">
        <f>0</f>
        <v>0</v>
      </c>
      <c r="O218" s="8">
        <f t="shared" si="15"/>
        <v>390.8</v>
      </c>
    </row>
    <row r="219" spans="1:15" ht="15.75" thickBot="1">
      <c r="A219" s="9" t="s">
        <v>224</v>
      </c>
      <c r="B219" s="42">
        <v>100</v>
      </c>
      <c r="C219" s="42">
        <f>4%*B219</f>
        <v>4</v>
      </c>
      <c r="D219" s="42">
        <f>4.7%*B219</f>
        <v>4.7</v>
      </c>
      <c r="E219" s="42">
        <f>B219*4.5%</f>
        <v>4.5</v>
      </c>
      <c r="F219" s="42">
        <f>B219*0.8%</f>
        <v>0.8</v>
      </c>
      <c r="G219" s="42">
        <f>D219+E219+F219</f>
        <v>10</v>
      </c>
      <c r="H219" s="42">
        <v>0</v>
      </c>
      <c r="I219" s="42">
        <v>0</v>
      </c>
      <c r="J219" s="42">
        <f>C219+D219+E219+F219+H219+I219</f>
        <v>14</v>
      </c>
      <c r="K219" s="42">
        <f t="shared" si="16"/>
        <v>86</v>
      </c>
      <c r="L219" s="57">
        <f>E219</f>
        <v>4.5</v>
      </c>
      <c r="M219" s="12">
        <f>E219*16%</f>
        <v>0.72</v>
      </c>
      <c r="N219" s="24">
        <f>0</f>
        <v>0</v>
      </c>
      <c r="O219" s="8">
        <f t="shared" si="15"/>
        <v>72.8</v>
      </c>
    </row>
    <row r="220" spans="1:15" ht="15.75" thickBot="1">
      <c r="A220" s="9" t="s">
        <v>225</v>
      </c>
      <c r="B220" s="42">
        <v>100</v>
      </c>
      <c r="C220" s="42"/>
      <c r="D220" s="42">
        <f>G220*36%</f>
        <v>27</v>
      </c>
      <c r="E220" s="42">
        <f>G220*54%</f>
        <v>40.5</v>
      </c>
      <c r="F220" s="49">
        <f>G220*10%</f>
        <v>7.5</v>
      </c>
      <c r="G220" s="42">
        <f>B220*75%</f>
        <v>75</v>
      </c>
      <c r="H220" s="42">
        <f>B220*20%</f>
        <v>20</v>
      </c>
      <c r="I220" s="42">
        <f>B220*5%</f>
        <v>5</v>
      </c>
      <c r="J220" s="42">
        <f>C220+D220+E220+F220+H220+I220</f>
        <v>100</v>
      </c>
      <c r="K220" s="42">
        <f t="shared" si="16"/>
        <v>0</v>
      </c>
      <c r="L220" s="57">
        <f>H220*180%+E220</f>
        <v>76.5</v>
      </c>
      <c r="M220" s="23">
        <f>H220*75%+E220*16%</f>
        <v>21.48</v>
      </c>
      <c r="N220" s="24">
        <f>0</f>
        <v>0</v>
      </c>
      <c r="O220" s="8">
        <f t="shared" si="15"/>
        <v>370</v>
      </c>
    </row>
    <row r="221" spans="1:15" ht="15.75" thickBot="1">
      <c r="A221" s="37" t="s">
        <v>226</v>
      </c>
      <c r="B221" s="41">
        <v>100</v>
      </c>
      <c r="C221" s="41">
        <f>B221*1.1%</f>
        <v>1.1</v>
      </c>
      <c r="D221" s="41">
        <f>B221*18.6%</f>
        <v>18.6</v>
      </c>
      <c r="E221" s="41">
        <f>B221*5.76%</f>
        <v>5.76</v>
      </c>
      <c r="F221" s="41">
        <f>B221*1%</f>
        <v>1</v>
      </c>
      <c r="G221" s="41">
        <f>D221+E221+F221</f>
        <v>25.36</v>
      </c>
      <c r="H221" s="41"/>
      <c r="I221" s="41">
        <f>B221*66.5%</f>
        <v>66.5</v>
      </c>
      <c r="J221" s="41">
        <f>C221+G221+I221</f>
        <v>92.96000000000001</v>
      </c>
      <c r="K221" s="50">
        <f t="shared" si="16"/>
        <v>7.039999999999992</v>
      </c>
      <c r="L221" s="59">
        <f>E221</f>
        <v>5.76</v>
      </c>
      <c r="M221" s="28">
        <f>E221*16%</f>
        <v>0.9216</v>
      </c>
      <c r="N221" s="24">
        <f>0</f>
        <v>0</v>
      </c>
      <c r="O221" s="8">
        <f t="shared" si="15"/>
        <v>373.34000000000003</v>
      </c>
    </row>
    <row r="222" spans="1:15" ht="15.75" thickBot="1">
      <c r="A222" s="9" t="s">
        <v>227</v>
      </c>
      <c r="B222" s="22">
        <v>100</v>
      </c>
      <c r="C222" s="11">
        <f>1%*B222</f>
        <v>1</v>
      </c>
      <c r="D222" s="11">
        <f>4.7%*B222</f>
        <v>4.7</v>
      </c>
      <c r="E222" s="11">
        <f>B222*4.5%</f>
        <v>4.5</v>
      </c>
      <c r="F222" s="11">
        <f>B222*0.8%</f>
        <v>0.8</v>
      </c>
      <c r="G222" s="11">
        <f>D222+E222+F222</f>
        <v>10</v>
      </c>
      <c r="H222" s="11">
        <v>0</v>
      </c>
      <c r="I222" s="11">
        <v>0</v>
      </c>
      <c r="J222" s="11">
        <f>C222+D222+E222+F222+H222+I222</f>
        <v>11</v>
      </c>
      <c r="K222" s="11">
        <f t="shared" si="16"/>
        <v>89</v>
      </c>
      <c r="L222" s="57">
        <f>E222</f>
        <v>4.5</v>
      </c>
      <c r="M222" s="23">
        <f>E222*16%</f>
        <v>0.72</v>
      </c>
      <c r="N222" s="24">
        <f>0</f>
        <v>0</v>
      </c>
      <c r="O222" s="8">
        <f t="shared" si="15"/>
        <v>45.8</v>
      </c>
    </row>
    <row r="223" spans="1:15" ht="15.75" thickBot="1">
      <c r="A223" s="21" t="s">
        <v>228</v>
      </c>
      <c r="B223" s="32">
        <v>100</v>
      </c>
      <c r="C223" s="32">
        <f>B223*1.6%</f>
        <v>1.6</v>
      </c>
      <c r="D223" s="32">
        <f>B223*3.4%</f>
        <v>3.4000000000000004</v>
      </c>
      <c r="E223" s="32">
        <f>B223*3.8%</f>
        <v>3.8</v>
      </c>
      <c r="F223" s="32">
        <f>B223*1%</f>
        <v>1</v>
      </c>
      <c r="G223" s="32">
        <f>F223+E223+D223</f>
        <v>8.2</v>
      </c>
      <c r="H223" s="32">
        <f>B223*15.3%</f>
        <v>15.299999999999999</v>
      </c>
      <c r="I223" s="32"/>
      <c r="J223" s="32">
        <f>H223+G223+C223</f>
        <v>25.1</v>
      </c>
      <c r="K223" s="32">
        <f t="shared" si="16"/>
        <v>74.9</v>
      </c>
      <c r="L223" s="56">
        <f>H223+E223</f>
        <v>19.099999999999998</v>
      </c>
      <c r="M223" s="32">
        <f>E223*16%+H223</f>
        <v>15.908</v>
      </c>
      <c r="N223" s="24">
        <f>0</f>
        <v>0</v>
      </c>
      <c r="O223" s="8">
        <f t="shared" si="15"/>
        <v>104.4</v>
      </c>
    </row>
    <row r="224" spans="1:15" ht="15.75" thickBot="1">
      <c r="A224" s="21" t="s">
        <v>229</v>
      </c>
      <c r="B224" s="32">
        <v>100</v>
      </c>
      <c r="C224" s="32">
        <f>B224*5%</f>
        <v>5</v>
      </c>
      <c r="D224" s="32">
        <f>B224*3%</f>
        <v>3</v>
      </c>
      <c r="E224" s="32"/>
      <c r="F224" s="32"/>
      <c r="G224" s="32"/>
      <c r="H224" s="32">
        <f>B224*38%</f>
        <v>38</v>
      </c>
      <c r="I224" s="32"/>
      <c r="J224" s="32">
        <f>C224+D224+H224+I224</f>
        <v>46</v>
      </c>
      <c r="K224" s="32">
        <f t="shared" si="16"/>
        <v>54</v>
      </c>
      <c r="L224" s="56">
        <f>H224+B224*6%*250%</f>
        <v>53</v>
      </c>
      <c r="M224" s="32">
        <f>H224+E224</f>
        <v>38</v>
      </c>
      <c r="N224" s="24">
        <f>0</f>
        <v>0</v>
      </c>
      <c r="O224" s="8">
        <f t="shared" si="15"/>
        <v>209</v>
      </c>
    </row>
    <row r="225" spans="1:15" ht="15.75" thickBot="1">
      <c r="A225" s="37" t="s">
        <v>230</v>
      </c>
      <c r="B225" s="41">
        <v>100</v>
      </c>
      <c r="C225" s="41">
        <f>B225*5%</f>
        <v>5</v>
      </c>
      <c r="D225" s="41">
        <f>B225*3%</f>
        <v>3</v>
      </c>
      <c r="E225" s="41"/>
      <c r="F225" s="41"/>
      <c r="G225" s="41"/>
      <c r="H225" s="41">
        <f>B225*38%</f>
        <v>38</v>
      </c>
      <c r="I225" s="41"/>
      <c r="J225" s="41">
        <f>C225+D225+H225+I225</f>
        <v>46</v>
      </c>
      <c r="K225" s="41">
        <f t="shared" si="16"/>
        <v>54</v>
      </c>
      <c r="L225" s="59">
        <f>H225+B225*14%*250%</f>
        <v>73</v>
      </c>
      <c r="M225" s="41">
        <f>H225+E225</f>
        <v>38</v>
      </c>
      <c r="N225" s="24">
        <f>0</f>
        <v>0</v>
      </c>
      <c r="O225" s="8">
        <f t="shared" si="15"/>
        <v>209</v>
      </c>
    </row>
    <row r="226" spans="1:15" ht="15.75" thickBot="1">
      <c r="A226" s="9" t="s">
        <v>231</v>
      </c>
      <c r="B226" s="22">
        <v>100</v>
      </c>
      <c r="C226" s="11"/>
      <c r="D226" s="11"/>
      <c r="E226" s="11"/>
      <c r="F226" s="11"/>
      <c r="G226" s="11"/>
      <c r="H226" s="11">
        <f>B226*72.5%</f>
        <v>72.5</v>
      </c>
      <c r="I226" s="11"/>
      <c r="J226" s="11">
        <f aca="true" t="shared" si="17" ref="J226:J268">C226+D226+E226+F226+H226+I226</f>
        <v>72.5</v>
      </c>
      <c r="K226" s="11">
        <f t="shared" si="16"/>
        <v>27.5</v>
      </c>
      <c r="L226" s="57">
        <f>H226*190%</f>
        <v>137.75</v>
      </c>
      <c r="M226" s="23">
        <f>B226*130%</f>
        <v>130</v>
      </c>
      <c r="N226" s="24">
        <f>0</f>
        <v>0</v>
      </c>
      <c r="O226" s="8">
        <f t="shared" si="15"/>
        <v>290</v>
      </c>
    </row>
    <row r="227" spans="1:15" ht="15.75" thickBot="1">
      <c r="A227" s="36" t="s">
        <v>233</v>
      </c>
      <c r="B227" s="25">
        <v>100</v>
      </c>
      <c r="C227" s="26"/>
      <c r="D227" s="26">
        <f>B227*0.2%</f>
        <v>0.2</v>
      </c>
      <c r="E227" s="26"/>
      <c r="F227" s="26"/>
      <c r="G227" s="26"/>
      <c r="H227" s="26">
        <f>B227*54%</f>
        <v>54</v>
      </c>
      <c r="I227" s="26">
        <f>B227*25.8%</f>
        <v>25.8</v>
      </c>
      <c r="J227" s="11">
        <f t="shared" si="17"/>
        <v>80</v>
      </c>
      <c r="K227" s="11">
        <f t="shared" si="16"/>
        <v>20</v>
      </c>
      <c r="L227" s="56">
        <f aca="true" t="shared" si="18" ref="L227:L253">H227</f>
        <v>54</v>
      </c>
      <c r="M227" s="27">
        <f aca="true" t="shared" si="19" ref="M227:M253">H227</f>
        <v>54</v>
      </c>
      <c r="N227" s="24">
        <f>0</f>
        <v>0</v>
      </c>
      <c r="O227" s="8">
        <f t="shared" si="15"/>
        <v>320</v>
      </c>
    </row>
    <row r="228" spans="1:15" ht="15.75" thickBot="1">
      <c r="A228" s="9" t="s">
        <v>234</v>
      </c>
      <c r="B228" s="10">
        <v>100</v>
      </c>
      <c r="C228" s="11"/>
      <c r="D228" s="11"/>
      <c r="E228" s="11"/>
      <c r="F228" s="11"/>
      <c r="G228" s="11"/>
      <c r="H228" s="11">
        <f>B228*70%</f>
        <v>70</v>
      </c>
      <c r="I228" s="11">
        <f>B228*2%</f>
        <v>2</v>
      </c>
      <c r="J228" s="11">
        <f t="shared" si="17"/>
        <v>72</v>
      </c>
      <c r="K228" s="11">
        <f t="shared" si="16"/>
        <v>28</v>
      </c>
      <c r="L228" s="57">
        <f t="shared" si="18"/>
        <v>70</v>
      </c>
      <c r="M228" s="12">
        <f t="shared" si="19"/>
        <v>70</v>
      </c>
      <c r="N228" s="24">
        <f>0</f>
        <v>0</v>
      </c>
      <c r="O228" s="8">
        <f t="shared" si="15"/>
        <v>288</v>
      </c>
    </row>
    <row r="229" spans="1:15" ht="15.75" thickBot="1">
      <c r="A229" s="21" t="s">
        <v>235</v>
      </c>
      <c r="B229" s="10">
        <v>100</v>
      </c>
      <c r="C229" s="11">
        <f>B229*60%</f>
        <v>60</v>
      </c>
      <c r="D229" s="11">
        <f>B229*18%</f>
        <v>18</v>
      </c>
      <c r="E229" s="11"/>
      <c r="F229" s="11"/>
      <c r="G229" s="11"/>
      <c r="H229" s="11">
        <f>B229*5%</f>
        <v>5</v>
      </c>
      <c r="I229" s="11">
        <f>B229*15%</f>
        <v>15</v>
      </c>
      <c r="J229" s="11">
        <f t="shared" si="17"/>
        <v>98</v>
      </c>
      <c r="K229" s="11">
        <f t="shared" si="16"/>
        <v>2</v>
      </c>
      <c r="L229" s="57">
        <f t="shared" si="18"/>
        <v>5</v>
      </c>
      <c r="M229" s="12">
        <f t="shared" si="19"/>
        <v>5</v>
      </c>
      <c r="N229" s="24">
        <f>0</f>
        <v>0</v>
      </c>
      <c r="O229" s="8">
        <f t="shared" si="15"/>
        <v>692</v>
      </c>
    </row>
    <row r="230" spans="1:15" ht="15.75" thickBot="1">
      <c r="A230" s="9" t="s">
        <v>236</v>
      </c>
      <c r="B230" s="10">
        <v>100</v>
      </c>
      <c r="C230" s="11"/>
      <c r="D230" s="11">
        <f>B230*0.2%</f>
        <v>0.2</v>
      </c>
      <c r="E230" s="11"/>
      <c r="F230" s="11"/>
      <c r="G230" s="11"/>
      <c r="H230" s="11">
        <f>B230*80%</f>
        <v>80</v>
      </c>
      <c r="I230" s="11">
        <f>B230*5.8%</f>
        <v>5.8</v>
      </c>
      <c r="J230" s="11">
        <f t="shared" si="17"/>
        <v>86</v>
      </c>
      <c r="K230" s="11">
        <f t="shared" si="16"/>
        <v>14</v>
      </c>
      <c r="L230" s="57">
        <f t="shared" si="18"/>
        <v>80</v>
      </c>
      <c r="M230" s="12">
        <f t="shared" si="19"/>
        <v>80</v>
      </c>
      <c r="N230" s="24">
        <f>0</f>
        <v>0</v>
      </c>
      <c r="O230" s="8">
        <f t="shared" si="15"/>
        <v>344</v>
      </c>
    </row>
    <row r="231" spans="1:15" ht="15.75" thickBot="1">
      <c r="A231" s="9" t="s">
        <v>237</v>
      </c>
      <c r="B231" s="10">
        <v>100</v>
      </c>
      <c r="C231" s="11">
        <f>B231*48%</f>
        <v>48</v>
      </c>
      <c r="D231" s="11">
        <f>B231*3%</f>
        <v>3</v>
      </c>
      <c r="E231" s="11"/>
      <c r="F231" s="11"/>
      <c r="G231" s="11"/>
      <c r="H231" s="11">
        <f>B231*43%</f>
        <v>43</v>
      </c>
      <c r="I231" s="11">
        <f>B231*4%</f>
        <v>4</v>
      </c>
      <c r="J231" s="11">
        <f t="shared" si="17"/>
        <v>98</v>
      </c>
      <c r="K231" s="11">
        <f t="shared" si="16"/>
        <v>2</v>
      </c>
      <c r="L231" s="57">
        <f t="shared" si="18"/>
        <v>43</v>
      </c>
      <c r="M231" s="12">
        <f t="shared" si="19"/>
        <v>43</v>
      </c>
      <c r="N231" s="24">
        <f>0</f>
        <v>0</v>
      </c>
      <c r="O231" s="8">
        <f t="shared" si="15"/>
        <v>632</v>
      </c>
    </row>
    <row r="232" spans="1:17" ht="15.75" thickBot="1">
      <c r="A232" s="9" t="s">
        <v>238</v>
      </c>
      <c r="B232" s="10">
        <v>100</v>
      </c>
      <c r="C232" s="11">
        <f>B232*5.7%</f>
        <v>5.7</v>
      </c>
      <c r="D232" s="11">
        <f>G232*38%</f>
        <v>10.640000000000002</v>
      </c>
      <c r="E232" s="11">
        <f>G232*54%</f>
        <v>15.120000000000003</v>
      </c>
      <c r="F232" s="11">
        <f>G232*8%</f>
        <v>2.24</v>
      </c>
      <c r="G232" s="11">
        <f>B232*28%</f>
        <v>28.000000000000004</v>
      </c>
      <c r="H232" s="11">
        <f>B232*55%</f>
        <v>55.00000000000001</v>
      </c>
      <c r="I232" s="11">
        <f>B232*6.8%</f>
        <v>6.800000000000001</v>
      </c>
      <c r="J232" s="11">
        <f t="shared" si="17"/>
        <v>95.50000000000001</v>
      </c>
      <c r="K232" s="11">
        <f t="shared" si="16"/>
        <v>4.499999999999986</v>
      </c>
      <c r="L232" s="57">
        <f t="shared" si="18"/>
        <v>55.00000000000001</v>
      </c>
      <c r="M232" s="12">
        <f t="shared" si="19"/>
        <v>55.00000000000001</v>
      </c>
      <c r="N232" s="24">
        <f>0</f>
        <v>0</v>
      </c>
      <c r="O232" s="8">
        <f t="shared" si="15"/>
        <v>401.54</v>
      </c>
      <c r="Q232" s="53"/>
    </row>
    <row r="233" spans="1:17" ht="15.75" thickBot="1">
      <c r="A233" s="34" t="s">
        <v>239</v>
      </c>
      <c r="B233" s="10">
        <v>100</v>
      </c>
      <c r="C233" s="11">
        <f>B233*0.2%</f>
        <v>0.2</v>
      </c>
      <c r="D233" s="11">
        <f>B233*0.6%</f>
        <v>0.6</v>
      </c>
      <c r="E233" s="11"/>
      <c r="F233" s="11"/>
      <c r="G233" s="11"/>
      <c r="H233" s="11">
        <f>B233*68%</f>
        <v>68</v>
      </c>
      <c r="I233" s="11">
        <f>B233*4.2%</f>
        <v>4.2</v>
      </c>
      <c r="J233" s="11">
        <f t="shared" si="17"/>
        <v>73</v>
      </c>
      <c r="K233" s="11">
        <f t="shared" si="16"/>
        <v>27</v>
      </c>
      <c r="L233" s="57">
        <f t="shared" si="18"/>
        <v>68</v>
      </c>
      <c r="M233" s="12">
        <f t="shared" si="19"/>
        <v>68</v>
      </c>
      <c r="N233" s="24">
        <f>0</f>
        <v>0</v>
      </c>
      <c r="O233" s="8">
        <f t="shared" si="15"/>
        <v>293</v>
      </c>
      <c r="Q233" s="53"/>
    </row>
    <row r="234" spans="1:15" ht="15.75" thickBot="1">
      <c r="A234" s="9" t="s">
        <v>240</v>
      </c>
      <c r="B234" s="10">
        <v>100</v>
      </c>
      <c r="C234" s="11"/>
      <c r="D234" s="11">
        <f>B234*10%</f>
        <v>10</v>
      </c>
      <c r="E234" s="11"/>
      <c r="F234" s="11"/>
      <c r="G234" s="11"/>
      <c r="H234" s="11">
        <f>B234*55%</f>
        <v>55.00000000000001</v>
      </c>
      <c r="I234" s="11"/>
      <c r="J234" s="11">
        <f t="shared" si="17"/>
        <v>65</v>
      </c>
      <c r="K234" s="11">
        <f t="shared" si="16"/>
        <v>35</v>
      </c>
      <c r="L234" s="57">
        <f t="shared" si="18"/>
        <v>55.00000000000001</v>
      </c>
      <c r="M234" s="12">
        <f t="shared" si="19"/>
        <v>55.00000000000001</v>
      </c>
      <c r="N234" s="24">
        <f>0</f>
        <v>0</v>
      </c>
      <c r="O234" s="8">
        <f t="shared" si="15"/>
        <v>260</v>
      </c>
    </row>
    <row r="235" spans="1:15" ht="15.75" thickBot="1">
      <c r="A235" s="9" t="s">
        <v>241</v>
      </c>
      <c r="B235" s="10">
        <v>100</v>
      </c>
      <c r="C235" s="11">
        <f>B235*8%</f>
        <v>8</v>
      </c>
      <c r="D235" s="11">
        <f>G235*38%</f>
        <v>7.6</v>
      </c>
      <c r="E235" s="11">
        <f>G235*54%</f>
        <v>10.8</v>
      </c>
      <c r="F235" s="11">
        <f>G235*8%</f>
        <v>1.6</v>
      </c>
      <c r="G235" s="11">
        <f>B235*20%</f>
        <v>20</v>
      </c>
      <c r="H235" s="11">
        <f>B235*35%</f>
        <v>35</v>
      </c>
      <c r="I235" s="11">
        <f>B235*14%</f>
        <v>14.000000000000002</v>
      </c>
      <c r="J235" s="11">
        <f t="shared" si="17"/>
        <v>77</v>
      </c>
      <c r="K235" s="11">
        <f t="shared" si="16"/>
        <v>23</v>
      </c>
      <c r="L235" s="57">
        <f t="shared" si="18"/>
        <v>35</v>
      </c>
      <c r="M235" s="12">
        <f t="shared" si="19"/>
        <v>35</v>
      </c>
      <c r="N235" s="24">
        <f>0</f>
        <v>0</v>
      </c>
      <c r="O235" s="8">
        <f t="shared" si="15"/>
        <v>341.6</v>
      </c>
    </row>
    <row r="236" spans="1:15" ht="15.75" thickBot="1">
      <c r="A236" s="9" t="s">
        <v>242</v>
      </c>
      <c r="B236" s="10">
        <v>100</v>
      </c>
      <c r="C236" s="11">
        <f>B236*48.5%</f>
        <v>48.5</v>
      </c>
      <c r="D236" s="11">
        <f>B236*1.6%</f>
        <v>1.6</v>
      </c>
      <c r="E236" s="11"/>
      <c r="F236" s="11"/>
      <c r="G236" s="11"/>
      <c r="H236" s="11">
        <f>B236*22%</f>
        <v>22</v>
      </c>
      <c r="I236" s="11">
        <f>B236*26%</f>
        <v>26</v>
      </c>
      <c r="J236" s="11">
        <f t="shared" si="17"/>
        <v>98.1</v>
      </c>
      <c r="K236" s="11">
        <f t="shared" si="16"/>
        <v>1.9000000000000057</v>
      </c>
      <c r="L236" s="57">
        <f t="shared" si="18"/>
        <v>22</v>
      </c>
      <c r="M236" s="12">
        <f t="shared" si="19"/>
        <v>22</v>
      </c>
      <c r="N236" s="24">
        <f>0</f>
        <v>0</v>
      </c>
      <c r="O236" s="8">
        <f t="shared" si="15"/>
        <v>634.9</v>
      </c>
    </row>
    <row r="237" spans="1:15" ht="15.75" thickBot="1">
      <c r="A237" s="9" t="s">
        <v>243</v>
      </c>
      <c r="B237" s="10">
        <v>100</v>
      </c>
      <c r="C237" s="11">
        <f>B237*38.5%</f>
        <v>38.5</v>
      </c>
      <c r="D237" s="11">
        <f>B237*6.1%</f>
        <v>6.1</v>
      </c>
      <c r="E237" s="11"/>
      <c r="F237" s="11"/>
      <c r="G237" s="11"/>
      <c r="H237" s="11">
        <f>B237*48%</f>
        <v>48</v>
      </c>
      <c r="I237" s="11">
        <f>B237*5.4%</f>
        <v>5.4</v>
      </c>
      <c r="J237" s="11">
        <f t="shared" si="17"/>
        <v>98</v>
      </c>
      <c r="K237" s="11">
        <f t="shared" si="16"/>
        <v>2</v>
      </c>
      <c r="L237" s="57">
        <f t="shared" si="18"/>
        <v>48</v>
      </c>
      <c r="M237" s="12">
        <f t="shared" si="19"/>
        <v>48</v>
      </c>
      <c r="N237" s="24">
        <f>0</f>
        <v>0</v>
      </c>
      <c r="O237" s="8">
        <f t="shared" si="15"/>
        <v>584.5</v>
      </c>
    </row>
    <row r="238" spans="1:15" ht="15.75" thickBot="1">
      <c r="A238" s="9" t="s">
        <v>244</v>
      </c>
      <c r="B238" s="10">
        <v>100</v>
      </c>
      <c r="C238" s="11">
        <f>B238*37.3%</f>
        <v>37.3</v>
      </c>
      <c r="D238" s="11">
        <f>B238*6.53%</f>
        <v>6.529999999999999</v>
      </c>
      <c r="E238" s="11"/>
      <c r="F238" s="11"/>
      <c r="G238" s="11"/>
      <c r="H238" s="11">
        <f>B238*48.2%</f>
        <v>48.2</v>
      </c>
      <c r="I238" s="11">
        <f>B238*6%</f>
        <v>6</v>
      </c>
      <c r="J238" s="11">
        <f t="shared" si="17"/>
        <v>98.03</v>
      </c>
      <c r="K238" s="11">
        <f t="shared" si="16"/>
        <v>1.9699999999999989</v>
      </c>
      <c r="L238" s="57">
        <f t="shared" si="18"/>
        <v>48.2</v>
      </c>
      <c r="M238" s="12">
        <f t="shared" si="19"/>
        <v>48.2</v>
      </c>
      <c r="N238" s="24">
        <f>0</f>
        <v>0</v>
      </c>
      <c r="O238" s="8">
        <f t="shared" si="15"/>
        <v>578.62</v>
      </c>
    </row>
    <row r="239" spans="1:15" ht="15.75" thickBot="1">
      <c r="A239" s="13" t="s">
        <v>245</v>
      </c>
      <c r="B239" s="14">
        <v>100</v>
      </c>
      <c r="C239" s="15"/>
      <c r="D239" s="11"/>
      <c r="E239" s="11"/>
      <c r="F239" s="11"/>
      <c r="G239" s="11"/>
      <c r="H239" s="15">
        <f>B239*79.2%</f>
        <v>79.2</v>
      </c>
      <c r="I239" s="15">
        <f>B239*3.8%</f>
        <v>3.8</v>
      </c>
      <c r="J239" s="11">
        <f t="shared" si="17"/>
        <v>83</v>
      </c>
      <c r="K239" s="11">
        <f t="shared" si="16"/>
        <v>17</v>
      </c>
      <c r="L239" s="57">
        <f t="shared" si="18"/>
        <v>79.2</v>
      </c>
      <c r="M239" s="12">
        <f t="shared" si="19"/>
        <v>79.2</v>
      </c>
      <c r="N239" s="24">
        <f>0</f>
        <v>0</v>
      </c>
      <c r="O239" s="8">
        <f t="shared" si="15"/>
        <v>332</v>
      </c>
    </row>
    <row r="240" spans="1:15" ht="15.75" thickBot="1">
      <c r="A240" s="13" t="s">
        <v>246</v>
      </c>
      <c r="B240" s="14">
        <v>100</v>
      </c>
      <c r="C240" s="15"/>
      <c r="D240" s="15">
        <f>B240*1.6%</f>
        <v>1.6</v>
      </c>
      <c r="E240" s="15"/>
      <c r="F240" s="15"/>
      <c r="G240" s="15"/>
      <c r="H240" s="15">
        <f>B240*74%</f>
        <v>74</v>
      </c>
      <c r="I240" s="15">
        <f>B240*0.7%</f>
        <v>0.7</v>
      </c>
      <c r="J240" s="11">
        <f t="shared" si="17"/>
        <v>76.3</v>
      </c>
      <c r="K240" s="11">
        <f t="shared" si="16"/>
        <v>23.700000000000003</v>
      </c>
      <c r="L240" s="57">
        <f t="shared" si="18"/>
        <v>74</v>
      </c>
      <c r="M240" s="12">
        <f t="shared" si="19"/>
        <v>74</v>
      </c>
      <c r="N240" s="24">
        <f>0</f>
        <v>0</v>
      </c>
      <c r="O240" s="8">
        <f t="shared" si="15"/>
        <v>305.2</v>
      </c>
    </row>
    <row r="241" spans="1:15" ht="15.75" thickBot="1">
      <c r="A241" s="13" t="s">
        <v>247</v>
      </c>
      <c r="B241" s="14">
        <v>100</v>
      </c>
      <c r="C241" s="15">
        <f>B241*41.2%</f>
        <v>41.2</v>
      </c>
      <c r="D241" s="15">
        <f>B241*4.4%</f>
        <v>4.4</v>
      </c>
      <c r="E241" s="15">
        <f>G241*54%</f>
        <v>1.35</v>
      </c>
      <c r="F241" s="15">
        <f>G241*10%</f>
        <v>0.25</v>
      </c>
      <c r="G241" s="15">
        <f>B241*2.5%</f>
        <v>2.5</v>
      </c>
      <c r="H241" s="15">
        <f>B241*45%</f>
        <v>45</v>
      </c>
      <c r="I241" s="15">
        <f>B241*6%</f>
        <v>6</v>
      </c>
      <c r="J241" s="11">
        <f t="shared" si="17"/>
        <v>98.2</v>
      </c>
      <c r="K241" s="11">
        <f t="shared" si="16"/>
        <v>1.7999999999999972</v>
      </c>
      <c r="L241" s="57">
        <f t="shared" si="18"/>
        <v>45</v>
      </c>
      <c r="M241" s="12">
        <f t="shared" si="19"/>
        <v>45</v>
      </c>
      <c r="N241" s="24">
        <f>0</f>
        <v>0</v>
      </c>
      <c r="O241" s="8">
        <f t="shared" si="15"/>
        <v>597.8</v>
      </c>
    </row>
    <row r="242" spans="1:15" ht="15.75" thickBot="1">
      <c r="A242" s="9" t="s">
        <v>248</v>
      </c>
      <c r="B242" s="10">
        <v>100</v>
      </c>
      <c r="C242" s="11">
        <f>B242*4.7%</f>
        <v>4.7</v>
      </c>
      <c r="D242" s="11">
        <f>B242*4.7%</f>
        <v>4.7</v>
      </c>
      <c r="E242" s="11"/>
      <c r="F242" s="11"/>
      <c r="G242" s="11"/>
      <c r="H242" s="11">
        <f>B242*40%</f>
        <v>40</v>
      </c>
      <c r="I242" s="11">
        <f>B242*8.6%</f>
        <v>8.6</v>
      </c>
      <c r="J242" s="11">
        <f t="shared" si="17"/>
        <v>58</v>
      </c>
      <c r="K242" s="11">
        <f t="shared" si="16"/>
        <v>42</v>
      </c>
      <c r="L242" s="57">
        <f t="shared" si="18"/>
        <v>40</v>
      </c>
      <c r="M242" s="12">
        <f t="shared" si="19"/>
        <v>40</v>
      </c>
      <c r="N242" s="24">
        <f>0</f>
        <v>0</v>
      </c>
      <c r="O242" s="8">
        <f t="shared" si="15"/>
        <v>255.50000000000003</v>
      </c>
    </row>
    <row r="243" spans="1:15" ht="15.75" thickBot="1">
      <c r="A243" s="9" t="s">
        <v>249</v>
      </c>
      <c r="B243" s="10">
        <v>100</v>
      </c>
      <c r="C243" s="11"/>
      <c r="D243" s="11">
        <f>B243*0.2%</f>
        <v>0.2</v>
      </c>
      <c r="E243" s="11"/>
      <c r="F243" s="11"/>
      <c r="G243" s="11"/>
      <c r="H243" s="11">
        <f>B243*80%</f>
        <v>80</v>
      </c>
      <c r="I243" s="11">
        <f>B243*6.8%</f>
        <v>6.800000000000001</v>
      </c>
      <c r="J243" s="11">
        <f t="shared" si="17"/>
        <v>87</v>
      </c>
      <c r="K243" s="11">
        <f t="shared" si="16"/>
        <v>13</v>
      </c>
      <c r="L243" s="57">
        <f t="shared" si="18"/>
        <v>80</v>
      </c>
      <c r="M243" s="12">
        <f t="shared" si="19"/>
        <v>80</v>
      </c>
      <c r="N243" s="24">
        <f>0</f>
        <v>0</v>
      </c>
      <c r="O243" s="8">
        <f t="shared" si="15"/>
        <v>348</v>
      </c>
    </row>
    <row r="244" spans="1:15" ht="15.75" thickBot="1">
      <c r="A244" s="9" t="s">
        <v>250</v>
      </c>
      <c r="B244" s="10">
        <v>100</v>
      </c>
      <c r="C244" s="11">
        <f>B244*12.5%</f>
        <v>12.5</v>
      </c>
      <c r="D244" s="11">
        <f>B244*2.9%</f>
        <v>2.9</v>
      </c>
      <c r="E244" s="11"/>
      <c r="F244" s="11"/>
      <c r="G244" s="11"/>
      <c r="H244" s="11">
        <f>B244*67%</f>
        <v>67</v>
      </c>
      <c r="I244" s="11"/>
      <c r="J244" s="11">
        <f t="shared" si="17"/>
        <v>82.4</v>
      </c>
      <c r="K244" s="11">
        <f t="shared" si="16"/>
        <v>17.599999999999994</v>
      </c>
      <c r="L244" s="57">
        <f t="shared" si="18"/>
        <v>67</v>
      </c>
      <c r="M244" s="12">
        <f t="shared" si="19"/>
        <v>67</v>
      </c>
      <c r="N244" s="24">
        <f>0</f>
        <v>0</v>
      </c>
      <c r="O244" s="8">
        <f t="shared" si="15"/>
        <v>392.1</v>
      </c>
    </row>
    <row r="245" spans="1:15" ht="15.75" thickBot="1">
      <c r="A245" s="9" t="s">
        <v>251</v>
      </c>
      <c r="B245" s="10">
        <v>100</v>
      </c>
      <c r="C245" s="11">
        <f>B245*40%</f>
        <v>40</v>
      </c>
      <c r="D245" s="11">
        <f>B245*12.7%</f>
        <v>12.7</v>
      </c>
      <c r="E245" s="11"/>
      <c r="F245" s="11"/>
      <c r="G245" s="11"/>
      <c r="H245" s="11">
        <f>B245*41%</f>
        <v>41</v>
      </c>
      <c r="I245" s="11">
        <f>B245*4.3%</f>
        <v>4.3</v>
      </c>
      <c r="J245" s="11">
        <f t="shared" si="17"/>
        <v>98</v>
      </c>
      <c r="K245" s="11">
        <f t="shared" si="16"/>
        <v>2</v>
      </c>
      <c r="L245" s="57">
        <f t="shared" si="18"/>
        <v>41</v>
      </c>
      <c r="M245" s="12">
        <f t="shared" si="19"/>
        <v>41</v>
      </c>
      <c r="N245" s="24">
        <f>0</f>
        <v>0</v>
      </c>
      <c r="O245" s="8">
        <f t="shared" si="15"/>
        <v>592</v>
      </c>
    </row>
    <row r="246" spans="1:15" ht="15.75" thickBot="1">
      <c r="A246" s="17" t="s">
        <v>252</v>
      </c>
      <c r="B246" s="10">
        <v>100</v>
      </c>
      <c r="C246" s="11"/>
      <c r="D246" s="11"/>
      <c r="E246" s="11"/>
      <c r="F246" s="11"/>
      <c r="G246" s="11"/>
      <c r="H246" s="11">
        <f>B246*71%</f>
        <v>71</v>
      </c>
      <c r="I246" s="11">
        <f>B246*4%</f>
        <v>4</v>
      </c>
      <c r="J246" s="11">
        <f t="shared" si="17"/>
        <v>75</v>
      </c>
      <c r="K246" s="11">
        <f t="shared" si="16"/>
        <v>25</v>
      </c>
      <c r="L246" s="57">
        <f t="shared" si="18"/>
        <v>71</v>
      </c>
      <c r="M246" s="12">
        <f t="shared" si="19"/>
        <v>71</v>
      </c>
      <c r="N246" s="24">
        <f>0</f>
        <v>0</v>
      </c>
      <c r="O246" s="8">
        <f t="shared" si="15"/>
        <v>300</v>
      </c>
    </row>
    <row r="247" spans="1:15" ht="15.75" thickBot="1">
      <c r="A247" s="9" t="s">
        <v>253</v>
      </c>
      <c r="B247" s="10">
        <v>100</v>
      </c>
      <c r="C247" s="11">
        <f>B247*6.8%</f>
        <v>6.800000000000001</v>
      </c>
      <c r="D247" s="11">
        <f>G247*38%</f>
        <v>6.46</v>
      </c>
      <c r="E247" s="11">
        <f>G247*54%</f>
        <v>9.18</v>
      </c>
      <c r="F247" s="11">
        <f>G247*8%</f>
        <v>1.36</v>
      </c>
      <c r="G247" s="11">
        <f>B247*17%</f>
        <v>17</v>
      </c>
      <c r="H247" s="11">
        <f>B247*43%</f>
        <v>43</v>
      </c>
      <c r="I247" s="11">
        <f>B247*12%</f>
        <v>12</v>
      </c>
      <c r="J247" s="11">
        <f t="shared" si="17"/>
        <v>78.8</v>
      </c>
      <c r="K247" s="11">
        <f t="shared" si="16"/>
        <v>21.200000000000003</v>
      </c>
      <c r="L247" s="57">
        <f t="shared" si="18"/>
        <v>43</v>
      </c>
      <c r="M247" s="12">
        <f t="shared" si="19"/>
        <v>43</v>
      </c>
      <c r="N247" s="24">
        <f>0</f>
        <v>0</v>
      </c>
      <c r="O247" s="8">
        <f t="shared" si="15"/>
        <v>343.76</v>
      </c>
    </row>
    <row r="248" spans="1:15" ht="15.75" thickBot="1">
      <c r="A248" s="13" t="s">
        <v>254</v>
      </c>
      <c r="B248" s="14">
        <v>100</v>
      </c>
      <c r="C248" s="15"/>
      <c r="D248" s="15"/>
      <c r="E248" s="15"/>
      <c r="F248" s="15"/>
      <c r="G248" s="15"/>
      <c r="H248" s="15">
        <f>B248*66.4%</f>
        <v>66.4</v>
      </c>
      <c r="I248" s="15">
        <f>B248*3.6%</f>
        <v>3.6000000000000005</v>
      </c>
      <c r="J248" s="11">
        <f t="shared" si="17"/>
        <v>70</v>
      </c>
      <c r="K248" s="11">
        <f t="shared" si="16"/>
        <v>30</v>
      </c>
      <c r="L248" s="57">
        <f t="shared" si="18"/>
        <v>66.4</v>
      </c>
      <c r="M248" s="12">
        <f t="shared" si="19"/>
        <v>66.4</v>
      </c>
      <c r="N248" s="24">
        <f>0</f>
        <v>0</v>
      </c>
      <c r="O248" s="8">
        <f t="shared" si="15"/>
        <v>280</v>
      </c>
    </row>
    <row r="249" spans="1:15" ht="15.75" thickBot="1">
      <c r="A249" s="9" t="s">
        <v>255</v>
      </c>
      <c r="B249" s="10">
        <v>100</v>
      </c>
      <c r="C249" s="11">
        <f>B249*62%</f>
        <v>62</v>
      </c>
      <c r="D249" s="11">
        <f>B249*15%</f>
        <v>15</v>
      </c>
      <c r="E249" s="11"/>
      <c r="F249" s="11"/>
      <c r="G249" s="11"/>
      <c r="H249" s="11"/>
      <c r="I249" s="11">
        <f>B249*21%</f>
        <v>21</v>
      </c>
      <c r="J249" s="11">
        <f t="shared" si="17"/>
        <v>98</v>
      </c>
      <c r="K249" s="11">
        <f t="shared" si="16"/>
        <v>2</v>
      </c>
      <c r="L249" s="57">
        <f t="shared" si="18"/>
        <v>0</v>
      </c>
      <c r="M249" s="12">
        <f t="shared" si="19"/>
        <v>0</v>
      </c>
      <c r="N249" s="24">
        <f>0</f>
        <v>0</v>
      </c>
      <c r="O249" s="8">
        <f t="shared" si="15"/>
        <v>702</v>
      </c>
    </row>
    <row r="250" spans="1:15" ht="15.75" thickBot="1">
      <c r="A250" s="9" t="s">
        <v>256</v>
      </c>
      <c r="B250" s="10">
        <v>100</v>
      </c>
      <c r="C250" s="11"/>
      <c r="D250" s="11"/>
      <c r="E250" s="11"/>
      <c r="F250" s="11"/>
      <c r="G250" s="11"/>
      <c r="H250" s="11">
        <f>B250*73.5%</f>
        <v>73.5</v>
      </c>
      <c r="I250" s="11">
        <f>B250*5%</f>
        <v>5</v>
      </c>
      <c r="J250" s="11">
        <f t="shared" si="17"/>
        <v>78.5</v>
      </c>
      <c r="K250" s="11">
        <f t="shared" si="16"/>
        <v>21.5</v>
      </c>
      <c r="L250" s="57">
        <f t="shared" si="18"/>
        <v>73.5</v>
      </c>
      <c r="M250" s="12">
        <f t="shared" si="19"/>
        <v>73.5</v>
      </c>
      <c r="N250" s="24">
        <f>0</f>
        <v>0</v>
      </c>
      <c r="O250" s="8">
        <f t="shared" si="15"/>
        <v>314</v>
      </c>
    </row>
    <row r="251" spans="1:15" ht="15.75" thickBot="1">
      <c r="A251" s="9" t="s">
        <v>257</v>
      </c>
      <c r="B251" s="10">
        <v>100</v>
      </c>
      <c r="C251" s="11">
        <f>B251*0.2%</f>
        <v>0.2</v>
      </c>
      <c r="D251" s="11">
        <f>B251*1%</f>
        <v>1</v>
      </c>
      <c r="E251" s="11"/>
      <c r="F251" s="11"/>
      <c r="G251" s="11"/>
      <c r="H251" s="11">
        <f>B251*75%</f>
        <v>75</v>
      </c>
      <c r="I251" s="11">
        <f>B251*5.8%</f>
        <v>5.8</v>
      </c>
      <c r="J251" s="11">
        <f t="shared" si="17"/>
        <v>82</v>
      </c>
      <c r="K251" s="11">
        <f t="shared" si="16"/>
        <v>18</v>
      </c>
      <c r="L251" s="57">
        <f t="shared" si="18"/>
        <v>75</v>
      </c>
      <c r="M251" s="12">
        <f t="shared" si="19"/>
        <v>75</v>
      </c>
      <c r="N251" s="24">
        <f>0</f>
        <v>0</v>
      </c>
      <c r="O251" s="8">
        <f t="shared" si="15"/>
        <v>329</v>
      </c>
    </row>
    <row r="252" spans="1:15" ht="15.75" thickBot="1">
      <c r="A252" s="17" t="s">
        <v>258</v>
      </c>
      <c r="B252" s="10">
        <v>100</v>
      </c>
      <c r="C252" s="11">
        <f>B252*61%</f>
        <v>61</v>
      </c>
      <c r="D252" s="11">
        <f>B252*9.7%</f>
        <v>9.7</v>
      </c>
      <c r="E252" s="11"/>
      <c r="F252" s="11"/>
      <c r="G252" s="11"/>
      <c r="H252" s="11"/>
      <c r="I252" s="11">
        <f>B252*27.3%</f>
        <v>27.3</v>
      </c>
      <c r="J252" s="11">
        <f t="shared" si="17"/>
        <v>98</v>
      </c>
      <c r="K252" s="11">
        <f t="shared" si="16"/>
        <v>2</v>
      </c>
      <c r="L252" s="57">
        <f t="shared" si="18"/>
        <v>0</v>
      </c>
      <c r="M252" s="12">
        <f t="shared" si="19"/>
        <v>0</v>
      </c>
      <c r="N252" s="24">
        <f>0</f>
        <v>0</v>
      </c>
      <c r="O252" s="8">
        <f t="shared" si="15"/>
        <v>697</v>
      </c>
    </row>
    <row r="253" spans="1:15" ht="15.75" thickBot="1">
      <c r="A253" s="9" t="s">
        <v>259</v>
      </c>
      <c r="B253" s="10">
        <v>100</v>
      </c>
      <c r="C253" s="11">
        <f>B253*44%</f>
        <v>44</v>
      </c>
      <c r="D253" s="11">
        <f>B253*8%</f>
        <v>8</v>
      </c>
      <c r="E253" s="11"/>
      <c r="F253" s="11"/>
      <c r="G253" s="11"/>
      <c r="H253" s="11">
        <f>B253*35%</f>
        <v>35</v>
      </c>
      <c r="I253" s="11">
        <f>B253*11%</f>
        <v>11</v>
      </c>
      <c r="J253" s="11">
        <f t="shared" si="17"/>
        <v>98</v>
      </c>
      <c r="K253" s="11">
        <f t="shared" si="16"/>
        <v>2</v>
      </c>
      <c r="L253" s="57">
        <f t="shared" si="18"/>
        <v>35</v>
      </c>
      <c r="M253" s="12">
        <f t="shared" si="19"/>
        <v>35</v>
      </c>
      <c r="N253" s="24">
        <f>0</f>
        <v>0</v>
      </c>
      <c r="O253" s="8">
        <f t="shared" si="15"/>
        <v>612</v>
      </c>
    </row>
    <row r="254" spans="1:15" ht="15.75" thickBot="1">
      <c r="A254" s="9" t="s">
        <v>260</v>
      </c>
      <c r="B254" s="10">
        <v>100</v>
      </c>
      <c r="C254" s="11"/>
      <c r="D254" s="11"/>
      <c r="E254" s="11"/>
      <c r="F254" s="11"/>
      <c r="G254" s="11"/>
      <c r="H254" s="11">
        <f>B254*14.7%</f>
        <v>14.7</v>
      </c>
      <c r="I254" s="11">
        <f>B254*80.3%</f>
        <v>80.3</v>
      </c>
      <c r="J254" s="11">
        <f t="shared" si="17"/>
        <v>95</v>
      </c>
      <c r="K254" s="11">
        <f t="shared" si="16"/>
        <v>5</v>
      </c>
      <c r="L254" s="57">
        <f>H254*180%</f>
        <v>26.46</v>
      </c>
      <c r="M254" s="12">
        <f>H254*75%</f>
        <v>11.024999999999999</v>
      </c>
      <c r="N254" s="24">
        <f>0</f>
        <v>0</v>
      </c>
      <c r="O254" s="8">
        <f t="shared" si="15"/>
        <v>380</v>
      </c>
    </row>
    <row r="255" spans="1:15" ht="15.75" thickBot="1">
      <c r="A255" s="9" t="s">
        <v>261</v>
      </c>
      <c r="B255" s="10">
        <v>100</v>
      </c>
      <c r="C255" s="11">
        <f>B255*45%</f>
        <v>45</v>
      </c>
      <c r="D255" s="11">
        <f>B255*3%</f>
        <v>3</v>
      </c>
      <c r="E255" s="11"/>
      <c r="F255" s="11"/>
      <c r="G255" s="11"/>
      <c r="H255" s="11">
        <f>B255*49%</f>
        <v>49</v>
      </c>
      <c r="I255" s="11"/>
      <c r="J255" s="11">
        <f t="shared" si="17"/>
        <v>97</v>
      </c>
      <c r="K255" s="11">
        <f t="shared" si="16"/>
        <v>3</v>
      </c>
      <c r="L255" s="57">
        <f>H255</f>
        <v>49</v>
      </c>
      <c r="M255" s="12">
        <f>H255</f>
        <v>49</v>
      </c>
      <c r="N255" s="24">
        <f>0</f>
        <v>0</v>
      </c>
      <c r="O255" s="8">
        <f t="shared" si="15"/>
        <v>613</v>
      </c>
    </row>
    <row r="256" spans="1:15" ht="15.75" thickBot="1">
      <c r="A256" s="9" t="s">
        <v>262</v>
      </c>
      <c r="B256" s="10">
        <v>100</v>
      </c>
      <c r="C256" s="11">
        <f>B256*0.2%</f>
        <v>0.2</v>
      </c>
      <c r="D256" s="11">
        <f>B256*0.6%</f>
        <v>0.6</v>
      </c>
      <c r="E256" s="11"/>
      <c r="F256" s="11"/>
      <c r="G256" s="11"/>
      <c r="H256" s="11">
        <f>B256*52%</f>
        <v>52</v>
      </c>
      <c r="I256" s="11">
        <f>B256*2.2%</f>
        <v>2.2</v>
      </c>
      <c r="J256" s="11">
        <f t="shared" si="17"/>
        <v>55</v>
      </c>
      <c r="K256" s="11">
        <f t="shared" si="16"/>
        <v>45</v>
      </c>
      <c r="L256" s="57">
        <f>H256</f>
        <v>52</v>
      </c>
      <c r="M256" s="12">
        <f>H256</f>
        <v>52</v>
      </c>
      <c r="N256" s="24">
        <f>0</f>
        <v>0</v>
      </c>
      <c r="O256" s="8">
        <f t="shared" si="15"/>
        <v>221</v>
      </c>
    </row>
    <row r="257" spans="1:15" ht="15.75" thickBot="1">
      <c r="A257" s="9" t="s">
        <v>263</v>
      </c>
      <c r="B257" s="10">
        <v>100</v>
      </c>
      <c r="C257" s="11">
        <f>B257*2%</f>
        <v>2</v>
      </c>
      <c r="D257" s="11">
        <f>B257*1%</f>
        <v>1</v>
      </c>
      <c r="E257" s="11"/>
      <c r="F257" s="11"/>
      <c r="G257" s="11"/>
      <c r="H257" s="11">
        <f>B257*64%</f>
        <v>64</v>
      </c>
      <c r="I257" s="11">
        <f>B257*10%</f>
        <v>10</v>
      </c>
      <c r="J257" s="11">
        <f t="shared" si="17"/>
        <v>77</v>
      </c>
      <c r="K257" s="11">
        <f t="shared" si="16"/>
        <v>23</v>
      </c>
      <c r="L257" s="57">
        <f>H257</f>
        <v>64</v>
      </c>
      <c r="M257" s="12">
        <f>H257</f>
        <v>64</v>
      </c>
      <c r="N257" s="24">
        <f>0</f>
        <v>0</v>
      </c>
      <c r="O257" s="8">
        <f t="shared" si="15"/>
        <v>318</v>
      </c>
    </row>
    <row r="258" spans="1:15" ht="15.75" thickBot="1">
      <c r="A258" s="9" t="s">
        <v>264</v>
      </c>
      <c r="B258" s="10">
        <v>100</v>
      </c>
      <c r="C258" s="11">
        <f>B258*55.5%</f>
        <v>55.50000000000001</v>
      </c>
      <c r="D258" s="11">
        <f>B258*3.4%</f>
        <v>3.4000000000000004</v>
      </c>
      <c r="E258" s="11"/>
      <c r="F258" s="11"/>
      <c r="G258" s="11"/>
      <c r="H258" s="11">
        <f>B258*35.8%</f>
        <v>35.8</v>
      </c>
      <c r="I258" s="11">
        <f>B258*3.3%</f>
        <v>3.3000000000000003</v>
      </c>
      <c r="J258" s="11">
        <f t="shared" si="17"/>
        <v>98</v>
      </c>
      <c r="K258" s="11">
        <f t="shared" si="16"/>
        <v>2</v>
      </c>
      <c r="L258" s="57">
        <f>H258</f>
        <v>35.8</v>
      </c>
      <c r="M258" s="12">
        <f>H258</f>
        <v>35.8</v>
      </c>
      <c r="N258" s="24">
        <f>0</f>
        <v>0</v>
      </c>
      <c r="O258" s="8">
        <f t="shared" si="15"/>
        <v>669.5</v>
      </c>
    </row>
    <row r="259" spans="1:15" ht="15.75" thickBot="1">
      <c r="A259" s="9" t="s">
        <v>265</v>
      </c>
      <c r="B259" s="10">
        <v>100</v>
      </c>
      <c r="C259" s="11">
        <f>B259*0.1%</f>
        <v>0.1</v>
      </c>
      <c r="D259" s="11">
        <f>B259*3.5%</f>
        <v>3.5000000000000004</v>
      </c>
      <c r="E259" s="11"/>
      <c r="F259" s="11"/>
      <c r="G259" s="11"/>
      <c r="H259" s="11">
        <f>B259*73%</f>
        <v>73</v>
      </c>
      <c r="I259" s="11">
        <f>B259*18.4%</f>
        <v>18.4</v>
      </c>
      <c r="J259" s="11">
        <f t="shared" si="17"/>
        <v>95</v>
      </c>
      <c r="K259" s="11">
        <f t="shared" si="16"/>
        <v>5</v>
      </c>
      <c r="L259" s="57">
        <f>H259*160%</f>
        <v>116.80000000000001</v>
      </c>
      <c r="M259" s="12">
        <f>H259*55%</f>
        <v>40.150000000000006</v>
      </c>
      <c r="N259" s="24">
        <f>0</f>
        <v>0</v>
      </c>
      <c r="O259" s="8">
        <f t="shared" si="15"/>
        <v>380.5</v>
      </c>
    </row>
    <row r="260" spans="1:15" ht="15.75" thickBot="1">
      <c r="A260" s="9" t="s">
        <v>266</v>
      </c>
      <c r="B260" s="10">
        <v>100</v>
      </c>
      <c r="C260" s="11">
        <f>B260*18.5%</f>
        <v>18.5</v>
      </c>
      <c r="D260" s="11">
        <f>B260*4.5%</f>
        <v>4.5</v>
      </c>
      <c r="E260" s="11"/>
      <c r="F260" s="11"/>
      <c r="G260" s="11"/>
      <c r="H260" s="11">
        <f>B260*63%</f>
        <v>63</v>
      </c>
      <c r="I260" s="11">
        <f>B260*9%</f>
        <v>9</v>
      </c>
      <c r="J260" s="11">
        <f t="shared" si="17"/>
        <v>95</v>
      </c>
      <c r="K260" s="11">
        <f t="shared" si="16"/>
        <v>5</v>
      </c>
      <c r="L260" s="57">
        <f>H260*180%</f>
        <v>113.4</v>
      </c>
      <c r="M260" s="12">
        <f>H260*75%</f>
        <v>47.25</v>
      </c>
      <c r="N260" s="24">
        <f>0</f>
        <v>0</v>
      </c>
      <c r="O260" s="8">
        <f t="shared" si="15"/>
        <v>472.5</v>
      </c>
    </row>
    <row r="261" spans="1:15" ht="15.75" thickBot="1">
      <c r="A261" s="9" t="s">
        <v>267</v>
      </c>
      <c r="B261" s="10">
        <v>100</v>
      </c>
      <c r="C261" s="11">
        <f>B261*2%</f>
        <v>2</v>
      </c>
      <c r="D261" s="11">
        <f>B261*4%</f>
        <v>4</v>
      </c>
      <c r="E261" s="11"/>
      <c r="F261" s="11"/>
      <c r="G261" s="11"/>
      <c r="H261" s="11">
        <f>B261*76%</f>
        <v>76</v>
      </c>
      <c r="I261" s="11">
        <f>B261*6%</f>
        <v>6</v>
      </c>
      <c r="J261" s="11">
        <f t="shared" si="17"/>
        <v>88</v>
      </c>
      <c r="K261" s="11">
        <f t="shared" si="16"/>
        <v>12</v>
      </c>
      <c r="L261" s="57">
        <f aca="true" t="shared" si="20" ref="L261:L268">H261</f>
        <v>76</v>
      </c>
      <c r="M261" s="12">
        <f aca="true" t="shared" si="21" ref="M261:M268">H261</f>
        <v>76</v>
      </c>
      <c r="N261" s="24">
        <f>0</f>
        <v>0</v>
      </c>
      <c r="O261" s="8">
        <f t="shared" si="15"/>
        <v>362</v>
      </c>
    </row>
    <row r="262" spans="1:15" ht="15.75" thickBot="1">
      <c r="A262" s="9" t="s">
        <v>268</v>
      </c>
      <c r="B262" s="10">
        <v>100</v>
      </c>
      <c r="C262" s="11">
        <f>B262*36%</f>
        <v>36</v>
      </c>
      <c r="D262" s="11">
        <f>B262*4.8%</f>
        <v>4.8</v>
      </c>
      <c r="E262" s="11"/>
      <c r="F262" s="11"/>
      <c r="G262" s="11"/>
      <c r="H262" s="11">
        <f>B262*51%</f>
        <v>51</v>
      </c>
      <c r="I262" s="11">
        <f>B262*6.2%</f>
        <v>6.2</v>
      </c>
      <c r="J262" s="11">
        <f t="shared" si="17"/>
        <v>98</v>
      </c>
      <c r="K262" s="11">
        <f t="shared" si="16"/>
        <v>2</v>
      </c>
      <c r="L262" s="57">
        <f t="shared" si="20"/>
        <v>51</v>
      </c>
      <c r="M262" s="12">
        <f t="shared" si="21"/>
        <v>51</v>
      </c>
      <c r="N262" s="24">
        <f>0</f>
        <v>0</v>
      </c>
      <c r="O262" s="8">
        <f t="shared" si="15"/>
        <v>572</v>
      </c>
    </row>
    <row r="263" spans="1:15" ht="15.75" thickBot="1">
      <c r="A263" s="9" t="s">
        <v>269</v>
      </c>
      <c r="B263" s="10">
        <v>100</v>
      </c>
      <c r="C263" s="11">
        <f>B263*44%</f>
        <v>44</v>
      </c>
      <c r="D263" s="11">
        <f>B263*3.5%</f>
        <v>3.5000000000000004</v>
      </c>
      <c r="E263" s="11"/>
      <c r="F263" s="11"/>
      <c r="G263" s="11"/>
      <c r="H263" s="11">
        <f>B263*43%</f>
        <v>43</v>
      </c>
      <c r="I263" s="11">
        <f>B263*7.5%</f>
        <v>7.5</v>
      </c>
      <c r="J263" s="11">
        <f t="shared" si="17"/>
        <v>98</v>
      </c>
      <c r="K263" s="11">
        <f t="shared" si="16"/>
        <v>2</v>
      </c>
      <c r="L263" s="57">
        <f t="shared" si="20"/>
        <v>43</v>
      </c>
      <c r="M263" s="12">
        <f t="shared" si="21"/>
        <v>43</v>
      </c>
      <c r="N263" s="24">
        <f>0</f>
        <v>0</v>
      </c>
      <c r="O263" s="8">
        <f t="shared" si="15"/>
        <v>612</v>
      </c>
    </row>
    <row r="264" spans="1:15" ht="15.75" thickBot="1">
      <c r="A264" s="9" t="s">
        <v>270</v>
      </c>
      <c r="B264" s="10">
        <v>100</v>
      </c>
      <c r="C264" s="11">
        <f>B264*45%</f>
        <v>45</v>
      </c>
      <c r="D264" s="11">
        <f>B264*4%</f>
        <v>4</v>
      </c>
      <c r="E264" s="11"/>
      <c r="F264" s="11"/>
      <c r="G264" s="11"/>
      <c r="H264" s="11">
        <f>B264*46%</f>
        <v>46</v>
      </c>
      <c r="I264" s="11">
        <f>B264*3%</f>
        <v>3</v>
      </c>
      <c r="J264" s="11">
        <f t="shared" si="17"/>
        <v>98</v>
      </c>
      <c r="K264" s="11">
        <f t="shared" si="16"/>
        <v>2</v>
      </c>
      <c r="L264" s="57">
        <f t="shared" si="20"/>
        <v>46</v>
      </c>
      <c r="M264" s="12">
        <f t="shared" si="21"/>
        <v>46</v>
      </c>
      <c r="N264" s="24">
        <f>0</f>
        <v>0</v>
      </c>
      <c r="O264" s="8">
        <f t="shared" si="15"/>
        <v>617</v>
      </c>
    </row>
    <row r="265" spans="1:15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>
        <f t="shared" si="17"/>
        <v>0</v>
      </c>
      <c r="K265" s="11">
        <f t="shared" si="16"/>
        <v>0</v>
      </c>
      <c r="L265" s="57">
        <f t="shared" si="20"/>
        <v>0</v>
      </c>
      <c r="M265" s="12">
        <f t="shared" si="21"/>
        <v>0</v>
      </c>
      <c r="N265" s="24">
        <f>0</f>
        <v>0</v>
      </c>
      <c r="O265" s="8">
        <f>C265*9+D265*4+E265*4+H265*4+I265*4+N265*7</f>
        <v>0</v>
      </c>
    </row>
    <row r="266" spans="1:15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>
        <f t="shared" si="17"/>
        <v>0</v>
      </c>
      <c r="K266" s="11">
        <f t="shared" si="16"/>
        <v>0</v>
      </c>
      <c r="L266" s="57">
        <f t="shared" si="20"/>
        <v>0</v>
      </c>
      <c r="M266" s="12">
        <f t="shared" si="21"/>
        <v>0</v>
      </c>
      <c r="N266" s="24">
        <f>0</f>
        <v>0</v>
      </c>
      <c r="O266" s="8">
        <f>C266*9+D266*4+E266*4+H266*4+I266*4+N266*7</f>
        <v>0</v>
      </c>
    </row>
    <row r="267" spans="1:15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>
        <f t="shared" si="17"/>
        <v>0</v>
      </c>
      <c r="K267" s="11">
        <f t="shared" si="16"/>
        <v>0</v>
      </c>
      <c r="L267" s="57">
        <f t="shared" si="20"/>
        <v>0</v>
      </c>
      <c r="M267" s="12">
        <f t="shared" si="21"/>
        <v>0</v>
      </c>
      <c r="N267" s="24">
        <f>0</f>
        <v>0</v>
      </c>
      <c r="O267" s="8">
        <f>C267*9+D267*4+E267*4+H267*4+I267*4+N267*7</f>
        <v>0</v>
      </c>
    </row>
    <row r="268" spans="1:15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>
        <f t="shared" si="17"/>
        <v>0</v>
      </c>
      <c r="K268" s="11">
        <f t="shared" si="16"/>
        <v>0</v>
      </c>
      <c r="L268" s="57">
        <f t="shared" si="20"/>
        <v>0</v>
      </c>
      <c r="M268" s="12">
        <f t="shared" si="21"/>
        <v>0</v>
      </c>
      <c r="N268" s="24">
        <f>0</f>
        <v>0</v>
      </c>
      <c r="O268" s="8">
        <f>C268*9+D268*4+E268*4+H268*4+I268*4+N268*7</f>
        <v>0</v>
      </c>
    </row>
    <row r="269" spans="1:15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7"/>
      <c r="O269" s="8"/>
    </row>
    <row r="270" spans="1:15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24"/>
      <c r="O270" s="8"/>
    </row>
    <row r="271" spans="1:15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30"/>
      <c r="O271" s="8"/>
    </row>
    <row r="272" spans="1:15" ht="15.75" thickBot="1">
      <c r="A272" s="51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7"/>
      <c r="O272" s="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2016-11-18T07:01:28Z</dcterms:modified>
  <cp:category/>
  <cp:version/>
  <cp:contentType/>
  <cp:contentStatus/>
</cp:coreProperties>
</file>